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<sst xmlns="http://schemas.openxmlformats.org/spreadsheetml/2006/main" count="2101" uniqueCount="288">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</sst>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1330946.1</v>
      </c>
      <c r="E8" s="151">
        <f>E9+E15+E18+E19+E23+E17</f>
        <v>1330946.1</v>
      </c>
      <c r="F8" s="151">
        <f>F9+F15+F18+F19+F23+F17</f>
        <v>1296658.49</v>
      </c>
      <c r="G8" s="151">
        <f>F8-E8</f>
        <v>-34287.6100000001</v>
      </c>
      <c r="H8" s="377">
        <f aca="true" t="shared" si="0" ref="H8:H15">F8/E8</f>
        <v>0.9742381678717116</v>
      </c>
      <c r="I8" s="153">
        <f aca="true" t="shared" si="1" ref="I8:I52">F8-D8</f>
        <v>-34287.6100000001</v>
      </c>
      <c r="J8" s="219">
        <f aca="true" t="shared" si="2" ref="J8:J14">F8/D8</f>
        <v>0.9742381678717116</v>
      </c>
      <c r="K8" s="153"/>
      <c r="L8" s="153"/>
      <c r="M8" s="153"/>
      <c r="N8" s="153">
        <v>984796</v>
      </c>
      <c r="O8" s="153">
        <f aca="true" t="shared" si="3" ref="O8:O20">D8-N8</f>
        <v>346150.1000000001</v>
      </c>
      <c r="P8" s="219">
        <f aca="true" t="shared" si="4" ref="P8:P20">D8/N8</f>
        <v>1.3514942180918688</v>
      </c>
      <c r="Q8" s="151">
        <f aca="true" t="shared" si="5" ref="Q8:Q51">N8</f>
        <v>984796</v>
      </c>
      <c r="R8" s="151">
        <f aca="true" t="shared" si="6" ref="R8:R78">F8-Q8</f>
        <v>311862.49</v>
      </c>
      <c r="S8" s="205">
        <f aca="true" t="shared" si="7" ref="S8:S20">F8/Q8</f>
        <v>1.3166772509230338</v>
      </c>
      <c r="T8" s="151">
        <f>T9+T15+T18+T19+T23+T17</f>
        <v>148380.5</v>
      </c>
      <c r="U8" s="151">
        <f>U9+U15+U18+U19+U23+U17</f>
        <v>90466.00000000004</v>
      </c>
      <c r="V8" s="151">
        <f>U8-T8</f>
        <v>-57914.499999999956</v>
      </c>
      <c r="W8" s="205">
        <f aca="true" t="shared" si="8" ref="W8:W15">U8/T8</f>
        <v>0.6096892785777109</v>
      </c>
      <c r="X8" s="365">
        <f aca="true" t="shared" si="9" ref="X8:X22">S8-P8</f>
        <v>-0.03481696716883498</v>
      </c>
    </row>
    <row r="9" spans="1:24" s="6" customFormat="1" ht="18">
      <c r="A9" s="8"/>
      <c r="B9" s="130" t="s">
        <v>79</v>
      </c>
      <c r="C9" s="43">
        <v>11010000</v>
      </c>
      <c r="D9" s="150">
        <f>766645+7544.5</f>
        <v>774189.5</v>
      </c>
      <c r="E9" s="150">
        <f aca="true" t="shared" si="10" ref="E9:E22">D9</f>
        <v>774189.5</v>
      </c>
      <c r="F9" s="156">
        <v>754745.21</v>
      </c>
      <c r="G9" s="150">
        <f>F9-E9</f>
        <v>-19444.290000000037</v>
      </c>
      <c r="H9" s="375">
        <f t="shared" si="0"/>
        <v>0.9748843274159621</v>
      </c>
      <c r="I9" s="158">
        <f t="shared" si="1"/>
        <v>-19444.290000000037</v>
      </c>
      <c r="J9" s="210">
        <f t="shared" si="2"/>
        <v>0.9748843274159621</v>
      </c>
      <c r="K9" s="158"/>
      <c r="L9" s="158"/>
      <c r="M9" s="158"/>
      <c r="N9" s="158">
        <v>541908.6</v>
      </c>
      <c r="O9" s="158">
        <f t="shared" si="3"/>
        <v>232280.90000000002</v>
      </c>
      <c r="P9" s="210">
        <f t="shared" si="4"/>
        <v>1.4286348288253776</v>
      </c>
      <c r="Q9" s="227">
        <f t="shared" si="5"/>
        <v>541908.6</v>
      </c>
      <c r="R9" s="159">
        <f t="shared" si="6"/>
        <v>212836.61</v>
      </c>
      <c r="S9" s="206">
        <f t="shared" si="7"/>
        <v>1.3927537042224463</v>
      </c>
      <c r="T9" s="157">
        <f>E9-листопад!E9</f>
        <v>88523.5</v>
      </c>
      <c r="U9" s="160">
        <f>F9-листопад!F9</f>
        <v>65304.02000000002</v>
      </c>
      <c r="V9" s="161">
        <f>U9-T9</f>
        <v>-23219.47999999998</v>
      </c>
      <c r="W9" s="210">
        <f t="shared" si="8"/>
        <v>0.7377026439307078</v>
      </c>
      <c r="X9" s="366">
        <f t="shared" si="9"/>
        <v>-0.03588112460293136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f>705817+7544.5</f>
        <v>713361.5</v>
      </c>
      <c r="E10" s="103">
        <f t="shared" si="10"/>
        <v>713361.5</v>
      </c>
      <c r="F10" s="140">
        <v>691393.39</v>
      </c>
      <c r="G10" s="103">
        <f aca="true" t="shared" si="11" ref="G10:G47">F10-E10</f>
        <v>-21968.109999999986</v>
      </c>
      <c r="H10" s="376">
        <f t="shared" si="0"/>
        <v>0.9692048000908375</v>
      </c>
      <c r="I10" s="104">
        <f t="shared" si="1"/>
        <v>-21968.109999999986</v>
      </c>
      <c r="J10" s="109">
        <f t="shared" si="2"/>
        <v>0.9692048000908375</v>
      </c>
      <c r="K10" s="104"/>
      <c r="L10" s="104"/>
      <c r="M10" s="104"/>
      <c r="N10" s="104">
        <v>476189.93</v>
      </c>
      <c r="O10" s="104">
        <f t="shared" si="3"/>
        <v>237171.57</v>
      </c>
      <c r="P10" s="109">
        <f t="shared" si="4"/>
        <v>1.4980608682758159</v>
      </c>
      <c r="Q10" s="106">
        <f t="shared" si="5"/>
        <v>476189.93</v>
      </c>
      <c r="R10" s="106">
        <f t="shared" si="6"/>
        <v>215203.46000000002</v>
      </c>
      <c r="S10" s="207">
        <f t="shared" si="7"/>
        <v>1.4519277843611686</v>
      </c>
      <c r="T10" s="105">
        <f>E10-листопад!E10</f>
        <v>87047.5</v>
      </c>
      <c r="U10" s="144">
        <f>F10-листопад!F10</f>
        <v>59756.03000000003</v>
      </c>
      <c r="V10" s="106">
        <f aca="true" t="shared" si="12" ref="V10:V52">U10-T10</f>
        <v>-27291.469999999972</v>
      </c>
      <c r="W10" s="109">
        <f t="shared" si="8"/>
        <v>0.6864761193601198</v>
      </c>
      <c r="X10" s="364">
        <f t="shared" si="9"/>
        <v>-0.04613308391464721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40193.62</v>
      </c>
      <c r="G11" s="103">
        <f t="shared" si="11"/>
        <v>-1812.3799999999974</v>
      </c>
      <c r="H11" s="376">
        <f t="shared" si="0"/>
        <v>0.9568542589153931</v>
      </c>
      <c r="I11" s="104">
        <f t="shared" si="1"/>
        <v>-1812.3799999999974</v>
      </c>
      <c r="J11" s="109">
        <f t="shared" si="2"/>
        <v>0.9568542589153931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-2207.709999999999</v>
      </c>
      <c r="S11" s="207">
        <f t="shared" si="7"/>
        <v>0.9479330011582184</v>
      </c>
      <c r="T11" s="105">
        <f>E11-листопад!E11</f>
        <v>0</v>
      </c>
      <c r="U11" s="144">
        <f>F11-листопад!F11</f>
        <v>2710.8800000000047</v>
      </c>
      <c r="V11" s="106">
        <f t="shared" si="12"/>
        <v>2710.8800000000047</v>
      </c>
      <c r="W11" s="109" t="e">
        <f t="shared" si="8"/>
        <v>#DIV/0!</v>
      </c>
      <c r="X11" s="364">
        <f t="shared" si="9"/>
        <v>-0.04274347054679639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11725.98</v>
      </c>
      <c r="G12" s="103">
        <f t="shared" si="11"/>
        <v>3445.9799999999996</v>
      </c>
      <c r="H12" s="376">
        <f t="shared" si="0"/>
        <v>1.4161811594202898</v>
      </c>
      <c r="I12" s="104">
        <f t="shared" si="1"/>
        <v>3445.9799999999996</v>
      </c>
      <c r="J12" s="109">
        <f t="shared" si="2"/>
        <v>1.4161811594202898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1062.0599999999995</v>
      </c>
      <c r="S12" s="207">
        <f t="shared" si="7"/>
        <v>1.099593770395877</v>
      </c>
      <c r="T12" s="105">
        <f>E12-листопад!E12</f>
        <v>780</v>
      </c>
      <c r="U12" s="144">
        <f>F12-листопад!F12</f>
        <v>2254.949999999999</v>
      </c>
      <c r="V12" s="106">
        <f t="shared" si="12"/>
        <v>1474.949999999999</v>
      </c>
      <c r="W12" s="109">
        <f t="shared" si="8"/>
        <v>2.890961538461537</v>
      </c>
      <c r="X12" s="364">
        <f t="shared" si="9"/>
        <v>0.32314383453739337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10066.64</v>
      </c>
      <c r="G13" s="103">
        <f t="shared" si="11"/>
        <v>676.6399999999994</v>
      </c>
      <c r="H13" s="376">
        <f t="shared" si="0"/>
        <v>1.072059637912673</v>
      </c>
      <c r="I13" s="104">
        <f t="shared" si="1"/>
        <v>676.6399999999994</v>
      </c>
      <c r="J13" s="109">
        <f t="shared" si="2"/>
        <v>1.072059637912673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534</v>
      </c>
      <c r="S13" s="207">
        <f t="shared" si="7"/>
        <v>1.0560180600547173</v>
      </c>
      <c r="T13" s="105">
        <f>E13-листопад!E13</f>
        <v>600</v>
      </c>
      <c r="U13" s="144">
        <f>F13-листопад!F13</f>
        <v>469.0499999999993</v>
      </c>
      <c r="V13" s="106">
        <f t="shared" si="12"/>
        <v>-130.95000000000073</v>
      </c>
      <c r="W13" s="109">
        <f t="shared" si="8"/>
        <v>0.7817499999999988</v>
      </c>
      <c r="X13" s="364">
        <f t="shared" si="9"/>
        <v>0.07098138605884619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1365.58</v>
      </c>
      <c r="G14" s="103">
        <f t="shared" si="11"/>
        <v>213.57999999999993</v>
      </c>
      <c r="H14" s="376">
        <f t="shared" si="0"/>
        <v>1.1853993055555554</v>
      </c>
      <c r="I14" s="104">
        <f t="shared" si="1"/>
        <v>213.57999999999993</v>
      </c>
      <c r="J14" s="109">
        <f t="shared" si="2"/>
        <v>1.1853993055555554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-1755.15</v>
      </c>
      <c r="S14" s="207">
        <f t="shared" si="7"/>
        <v>0.4375835141136849</v>
      </c>
      <c r="T14" s="105">
        <f>E14-листопад!E14</f>
        <v>96</v>
      </c>
      <c r="U14" s="144">
        <f>F14-листопад!F14</f>
        <v>113.1099999999999</v>
      </c>
      <c r="V14" s="106">
        <f t="shared" si="12"/>
        <v>17.1099999999999</v>
      </c>
      <c r="W14" s="109">
        <f t="shared" si="8"/>
        <v>1.1782291666666656</v>
      </c>
      <c r="X14" s="364">
        <f t="shared" si="9"/>
        <v>0.06843911520701884</v>
      </c>
    </row>
    <row r="15" spans="1:24" s="6" customFormat="1" ht="30.75">
      <c r="A15" s="8"/>
      <c r="B15" s="131" t="s">
        <v>11</v>
      </c>
      <c r="C15" s="43">
        <v>11020200</v>
      </c>
      <c r="D15" s="150">
        <f>451+436.5</f>
        <v>887.5</v>
      </c>
      <c r="E15" s="150">
        <f t="shared" si="10"/>
        <v>887.5</v>
      </c>
      <c r="F15" s="156">
        <v>887.61</v>
      </c>
      <c r="G15" s="150">
        <f t="shared" si="11"/>
        <v>0.11000000000001364</v>
      </c>
      <c r="H15" s="375">
        <f t="shared" si="0"/>
        <v>1.0001239436619718</v>
      </c>
      <c r="I15" s="158">
        <f t="shared" si="1"/>
        <v>0.11000000000001364</v>
      </c>
      <c r="J15" s="158">
        <f aca="true" t="shared" si="13" ref="J15:J23">F15/D15*100</f>
        <v>100.01239436619717</v>
      </c>
      <c r="K15" s="158"/>
      <c r="L15" s="158"/>
      <c r="M15" s="158"/>
      <c r="N15" s="158">
        <v>459.29</v>
      </c>
      <c r="O15" s="158">
        <f t="shared" si="3"/>
        <v>428.21</v>
      </c>
      <c r="P15" s="210">
        <f t="shared" si="4"/>
        <v>1.9323303359533193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436.5</v>
      </c>
      <c r="U15" s="160">
        <f>F15-листопад!F15</f>
        <v>0</v>
      </c>
      <c r="V15" s="161">
        <f t="shared" si="12"/>
        <v>-436.5</v>
      </c>
      <c r="W15" s="210">
        <f t="shared" si="8"/>
        <v>0</v>
      </c>
      <c r="X15" s="363">
        <f t="shared" si="9"/>
        <v>0.00023950009797735206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f>125+95</f>
        <v>220</v>
      </c>
      <c r="E18" s="150">
        <f t="shared" si="10"/>
        <v>220</v>
      </c>
      <c r="F18" s="156">
        <v>220.59</v>
      </c>
      <c r="G18" s="150">
        <f t="shared" si="11"/>
        <v>0.5900000000000034</v>
      </c>
      <c r="H18" s="375">
        <f aca="true" t="shared" si="14" ref="H18:H41">F18/E18</f>
        <v>1.0026818181818182</v>
      </c>
      <c r="I18" s="158">
        <f t="shared" si="1"/>
        <v>0.5900000000000034</v>
      </c>
      <c r="J18" s="158">
        <f t="shared" si="13"/>
        <v>100.26818181818183</v>
      </c>
      <c r="K18" s="158"/>
      <c r="L18" s="158"/>
      <c r="M18" s="158"/>
      <c r="N18" s="158">
        <v>124.7</v>
      </c>
      <c r="O18" s="158">
        <f t="shared" si="3"/>
        <v>95.3</v>
      </c>
      <c r="P18" s="210">
        <f t="shared" si="4"/>
        <v>1.764234161988773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95</v>
      </c>
      <c r="U18" s="160">
        <f>F18-листопад!F18</f>
        <v>0</v>
      </c>
      <c r="V18" s="161">
        <f t="shared" si="12"/>
        <v>-95</v>
      </c>
      <c r="W18" s="210">
        <f aca="true" t="shared" si="15" ref="W18:W25">U18/T18</f>
        <v>0</v>
      </c>
      <c r="X18" s="363">
        <f t="shared" si="9"/>
        <v>0.004731355252606484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118932.27</v>
      </c>
      <c r="G19" s="150">
        <f t="shared" si="11"/>
        <v>-6767.729999999996</v>
      </c>
      <c r="H19" s="375">
        <f t="shared" si="14"/>
        <v>0.9461596658711218</v>
      </c>
      <c r="I19" s="158">
        <f t="shared" si="1"/>
        <v>-6767.729999999996</v>
      </c>
      <c r="J19" s="158">
        <f t="shared" si="13"/>
        <v>94.61596658711218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17132.550000000003</v>
      </c>
      <c r="S19" s="208">
        <f t="shared" si="7"/>
        <v>1.1682966318571406</v>
      </c>
      <c r="T19" s="157">
        <f>E19-листопад!E19</f>
        <v>8800</v>
      </c>
      <c r="U19" s="160">
        <f>F19-листопад!F19</f>
        <v>7460.330000000002</v>
      </c>
      <c r="V19" s="161">
        <f t="shared" si="12"/>
        <v>-1339.6699999999983</v>
      </c>
      <c r="W19" s="210">
        <f t="shared" si="15"/>
        <v>0.8477647727272729</v>
      </c>
      <c r="X19" s="363">
        <f t="shared" si="9"/>
        <v>-0.06648083118499737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59475.1</v>
      </c>
      <c r="G20" s="253">
        <f t="shared" si="11"/>
        <v>-3924.9000000000015</v>
      </c>
      <c r="H20" s="378">
        <f t="shared" si="14"/>
        <v>0.9380930599369085</v>
      </c>
      <c r="I20" s="254">
        <f t="shared" si="1"/>
        <v>-3924.9000000000015</v>
      </c>
      <c r="J20" s="254">
        <f t="shared" si="13"/>
        <v>93.80930599369086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-42324.62</v>
      </c>
      <c r="S20" s="256">
        <f t="shared" si="7"/>
        <v>0.5842363810037984</v>
      </c>
      <c r="T20" s="195">
        <f>E20-листопад!E20</f>
        <v>0</v>
      </c>
      <c r="U20" s="179">
        <f>F20-листопад!F20</f>
        <v>3028.0800000000017</v>
      </c>
      <c r="V20" s="166">
        <f t="shared" si="12"/>
        <v>3028.0800000000017</v>
      </c>
      <c r="W20" s="305" t="e">
        <f t="shared" si="15"/>
        <v>#DIV/0!</v>
      </c>
      <c r="X20" s="363">
        <f t="shared" si="9"/>
        <v>-0.038555115868688095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12033.74</v>
      </c>
      <c r="G21" s="253">
        <f t="shared" si="11"/>
        <v>-166.26000000000022</v>
      </c>
      <c r="H21" s="378">
        <f t="shared" si="14"/>
        <v>0.986372131147541</v>
      </c>
      <c r="I21" s="254">
        <f t="shared" si="1"/>
        <v>-166.26000000000022</v>
      </c>
      <c r="J21" s="254">
        <f t="shared" si="13"/>
        <v>98.63721311475409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12033.74</v>
      </c>
      <c r="S21" s="256"/>
      <c r="T21" s="195">
        <f>E21-листопад!E21</f>
        <v>1000</v>
      </c>
      <c r="U21" s="179">
        <f>F21-листопад!F21</f>
        <v>851.3400000000001</v>
      </c>
      <c r="V21" s="166">
        <f t="shared" si="12"/>
        <v>-148.65999999999985</v>
      </c>
      <c r="W21" s="305">
        <f t="shared" si="15"/>
        <v>0.8513400000000001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47423.44</v>
      </c>
      <c r="G22" s="253">
        <f t="shared" si="11"/>
        <v>-2676.5599999999977</v>
      </c>
      <c r="H22" s="378">
        <f t="shared" si="14"/>
        <v>0.9465756487025948</v>
      </c>
      <c r="I22" s="254">
        <f t="shared" si="1"/>
        <v>-2676.5599999999977</v>
      </c>
      <c r="J22" s="254">
        <f t="shared" si="13"/>
        <v>94.65756487025948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47423.44</v>
      </c>
      <c r="S22" s="256"/>
      <c r="T22" s="195">
        <f>E22-листопад!E22</f>
        <v>7800</v>
      </c>
      <c r="U22" s="179">
        <f>F22-листопад!F22</f>
        <v>3580.9200000000055</v>
      </c>
      <c r="V22" s="166">
        <f t="shared" si="12"/>
        <v>-4219.0799999999945</v>
      </c>
      <c r="W22" s="305">
        <f t="shared" si="15"/>
        <v>0.4590923076923084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429949.1</v>
      </c>
      <c r="E23" s="150">
        <f>E24+E43+E47+E42</f>
        <v>429949.1</v>
      </c>
      <c r="F23" s="223">
        <v>421872.32</v>
      </c>
      <c r="G23" s="150">
        <f t="shared" si="11"/>
        <v>-8076.77999999997</v>
      </c>
      <c r="H23" s="375">
        <f t="shared" si="14"/>
        <v>0.9812145670266551</v>
      </c>
      <c r="I23" s="158">
        <f t="shared" si="1"/>
        <v>-8076.77999999997</v>
      </c>
      <c r="J23" s="158">
        <f t="shared" si="13"/>
        <v>98.12145670266551</v>
      </c>
      <c r="K23" s="158"/>
      <c r="L23" s="158"/>
      <c r="M23" s="158"/>
      <c r="N23" s="158">
        <v>340503.51</v>
      </c>
      <c r="O23" s="158">
        <f aca="true" t="shared" si="16" ref="O23:O51">D23-N23</f>
        <v>89445.58999999997</v>
      </c>
      <c r="P23" s="210">
        <f aca="true" t="shared" si="17" ref="P23:P51">D23/N23</f>
        <v>1.2626862495484994</v>
      </c>
      <c r="Q23" s="158">
        <f t="shared" si="5"/>
        <v>340503.51</v>
      </c>
      <c r="R23" s="161">
        <f t="shared" si="6"/>
        <v>81368.81</v>
      </c>
      <c r="S23" s="209">
        <f aca="true" t="shared" si="18" ref="S23:S41">F23/Q23</f>
        <v>1.2389661416412419</v>
      </c>
      <c r="T23" s="157">
        <f>E23-листопад!E23</f>
        <v>50525.5</v>
      </c>
      <c r="U23" s="160">
        <f>F23-листопад!F23</f>
        <v>17701.650000000023</v>
      </c>
      <c r="V23" s="161">
        <f t="shared" si="12"/>
        <v>-32823.84999999998</v>
      </c>
      <c r="W23" s="210">
        <f t="shared" si="15"/>
        <v>0.35035081295583465</v>
      </c>
      <c r="X23" s="363">
        <f>S23-P23</f>
        <v>-0.023720107907257537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208931</v>
      </c>
      <c r="E24" s="150">
        <f>E25+E32+E35</f>
        <v>208931</v>
      </c>
      <c r="F24" s="223">
        <f>F25+F32+F35</f>
        <v>200041.22</v>
      </c>
      <c r="G24" s="150">
        <f t="shared" si="11"/>
        <v>-8889.779999999999</v>
      </c>
      <c r="H24" s="375">
        <f t="shared" si="14"/>
        <v>0.9574511202262949</v>
      </c>
      <c r="I24" s="158">
        <f t="shared" si="1"/>
        <v>-8889.779999999999</v>
      </c>
      <c r="J24" s="210">
        <f aca="true" t="shared" si="19" ref="J24:J41">F24/D24</f>
        <v>0.9574511202262949</v>
      </c>
      <c r="K24" s="158"/>
      <c r="L24" s="158"/>
      <c r="M24" s="158"/>
      <c r="N24" s="158">
        <v>182295.05</v>
      </c>
      <c r="O24" s="158">
        <f t="shared" si="16"/>
        <v>26635.95000000001</v>
      </c>
      <c r="P24" s="210">
        <f t="shared" si="17"/>
        <v>1.14611449954346</v>
      </c>
      <c r="Q24" s="158">
        <f t="shared" si="5"/>
        <v>182295.05</v>
      </c>
      <c r="R24" s="161">
        <f t="shared" si="6"/>
        <v>17746.170000000013</v>
      </c>
      <c r="S24" s="209">
        <f t="shared" si="18"/>
        <v>1.097348611495485</v>
      </c>
      <c r="T24" s="157">
        <f>E24-листопад!E24</f>
        <v>17369.899999999994</v>
      </c>
      <c r="U24" s="160">
        <f>F24-листопад!F24</f>
        <v>8785.410000000003</v>
      </c>
      <c r="V24" s="161">
        <f t="shared" si="12"/>
        <v>-8584.48999999999</v>
      </c>
      <c r="W24" s="210">
        <f t="shared" si="15"/>
        <v>0.5057835681264721</v>
      </c>
      <c r="X24" s="363">
        <f aca="true" t="shared" si="20" ref="X24:X99">S24-P24</f>
        <v>-0.0487658880479751</v>
      </c>
    </row>
    <row r="25" spans="1:25" s="6" customFormat="1" ht="18">
      <c r="A25" s="8"/>
      <c r="B25" s="50" t="s">
        <v>74</v>
      </c>
      <c r="C25" s="123"/>
      <c r="D25" s="253">
        <f>22809+2180</f>
        <v>24989</v>
      </c>
      <c r="E25" s="368">
        <f aca="true" t="shared" si="21" ref="E25:E45">D25</f>
        <v>24989</v>
      </c>
      <c r="F25" s="201">
        <v>25115.28</v>
      </c>
      <c r="G25" s="253">
        <f t="shared" si="11"/>
        <v>126.27999999999884</v>
      </c>
      <c r="H25" s="378">
        <f t="shared" si="14"/>
        <v>1.0050534235063426</v>
      </c>
      <c r="I25" s="254">
        <f t="shared" si="1"/>
        <v>126.27999999999884</v>
      </c>
      <c r="J25" s="305">
        <f t="shared" si="19"/>
        <v>1.0050534235063426</v>
      </c>
      <c r="K25" s="254"/>
      <c r="L25" s="254"/>
      <c r="M25" s="254"/>
      <c r="N25" s="254">
        <v>21482.16</v>
      </c>
      <c r="O25" s="254">
        <f t="shared" si="16"/>
        <v>3506.84</v>
      </c>
      <c r="P25" s="305">
        <f t="shared" si="17"/>
        <v>1.16324429200788</v>
      </c>
      <c r="Q25" s="304">
        <f t="shared" si="5"/>
        <v>21482.16</v>
      </c>
      <c r="R25" s="166">
        <f t="shared" si="6"/>
        <v>3633.119999999999</v>
      </c>
      <c r="S25" s="215">
        <f t="shared" si="18"/>
        <v>1.1691226580567318</v>
      </c>
      <c r="T25" s="195">
        <f>E25-листопад!E25</f>
        <v>2724.9000000000015</v>
      </c>
      <c r="U25" s="179">
        <f>F25-листопад!F25</f>
        <v>605.0499999999993</v>
      </c>
      <c r="V25" s="166">
        <f t="shared" si="12"/>
        <v>-2119.850000000002</v>
      </c>
      <c r="W25" s="305">
        <f t="shared" si="15"/>
        <v>0.22204484568240998</v>
      </c>
      <c r="X25" s="363">
        <f t="shared" si="20"/>
        <v>0.005878366048851724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1479.6899999999998</v>
      </c>
      <c r="G26" s="223">
        <f t="shared" si="11"/>
        <v>-342.6100000000001</v>
      </c>
      <c r="H26" s="379">
        <f t="shared" si="14"/>
        <v>0.8119903418756516</v>
      </c>
      <c r="I26" s="299">
        <f t="shared" si="1"/>
        <v>-342.6100000000001</v>
      </c>
      <c r="J26" s="341">
        <f t="shared" si="19"/>
        <v>0.8119903418756516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636.9899999999998</v>
      </c>
      <c r="S26" s="228">
        <f t="shared" si="18"/>
        <v>1.755891776432894</v>
      </c>
      <c r="T26" s="237">
        <f>E26-листопад!E26</f>
        <v>55</v>
      </c>
      <c r="U26" s="237">
        <f>F26-листопад!F26</f>
        <v>71.90999999999963</v>
      </c>
      <c r="V26" s="299">
        <f t="shared" si="12"/>
        <v>16.909999999999627</v>
      </c>
      <c r="W26" s="341">
        <f aca="true" t="shared" si="22" ref="W26:W41">U26/T26*100</f>
        <v>130.74545454545387</v>
      </c>
      <c r="X26" s="363">
        <f t="shared" si="20"/>
        <v>-0.40656224041770495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23166.699999999997</v>
      </c>
      <c r="E27" s="199">
        <f t="shared" si="21"/>
        <v>23166.699999999997</v>
      </c>
      <c r="F27" s="199">
        <f>F30+F31</f>
        <v>23635.579999999998</v>
      </c>
      <c r="G27" s="223">
        <f t="shared" si="11"/>
        <v>468.880000000001</v>
      </c>
      <c r="H27" s="379">
        <f t="shared" si="14"/>
        <v>1.0202393953389997</v>
      </c>
      <c r="I27" s="299">
        <f t="shared" si="1"/>
        <v>468.880000000001</v>
      </c>
      <c r="J27" s="341">
        <f t="shared" si="19"/>
        <v>1.0202393953389997</v>
      </c>
      <c r="K27" s="299"/>
      <c r="L27" s="299"/>
      <c r="M27" s="299"/>
      <c r="N27" s="299">
        <v>20639.46</v>
      </c>
      <c r="O27" s="299">
        <f t="shared" si="16"/>
        <v>2527.239999999998</v>
      </c>
      <c r="P27" s="341">
        <f t="shared" si="17"/>
        <v>1.1224470020048973</v>
      </c>
      <c r="Q27" s="200">
        <f t="shared" si="5"/>
        <v>20639.46</v>
      </c>
      <c r="R27" s="367">
        <f t="shared" si="6"/>
        <v>2996.119999999999</v>
      </c>
      <c r="S27" s="228">
        <f t="shared" si="18"/>
        <v>1.1451646506255493</v>
      </c>
      <c r="T27" s="237">
        <f>E27-листопад!E27</f>
        <v>2669.899999999998</v>
      </c>
      <c r="U27" s="237">
        <f>F27-листопад!F27</f>
        <v>533.119999999999</v>
      </c>
      <c r="V27" s="299">
        <f t="shared" si="12"/>
        <v>-2136.779999999999</v>
      </c>
      <c r="W27" s="341">
        <f t="shared" si="22"/>
        <v>19.967789055769856</v>
      </c>
      <c r="X27" s="363">
        <f t="shared" si="20"/>
        <v>0.022717648620651953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263.83</v>
      </c>
      <c r="G28" s="385">
        <f t="shared" si="11"/>
        <v>-658.47</v>
      </c>
      <c r="H28" s="387">
        <f t="shared" si="14"/>
        <v>0.28605659763634395</v>
      </c>
      <c r="I28" s="388">
        <f t="shared" si="1"/>
        <v>-658.47</v>
      </c>
      <c r="J28" s="389">
        <f t="shared" si="19"/>
        <v>0.28605659763634395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-131.37</v>
      </c>
      <c r="S28" s="389">
        <f t="shared" si="18"/>
        <v>0.667586032388664</v>
      </c>
      <c r="T28" s="373">
        <f>E28-листопад!E28</f>
        <v>5</v>
      </c>
      <c r="U28" s="373">
        <f>F28-листопад!F28</f>
        <v>2.9699999999999704</v>
      </c>
      <c r="V28" s="388">
        <f t="shared" si="12"/>
        <v>-2.0300000000000296</v>
      </c>
      <c r="W28" s="389">
        <f t="shared" si="22"/>
        <v>59.39999999999941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1215.86</v>
      </c>
      <c r="G29" s="385">
        <f t="shared" si="11"/>
        <v>315.8599999999999</v>
      </c>
      <c r="H29" s="387">
        <f t="shared" si="14"/>
        <v>1.3509555555555555</v>
      </c>
      <c r="I29" s="388">
        <f t="shared" si="1"/>
        <v>315.8599999999999</v>
      </c>
      <c r="J29" s="389">
        <f t="shared" si="19"/>
        <v>1.3509555555555555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768.3599999999999</v>
      </c>
      <c r="S29" s="389">
        <f t="shared" si="18"/>
        <v>2.7170055865921787</v>
      </c>
      <c r="T29" s="373">
        <f>E29-листопад!E29</f>
        <v>50</v>
      </c>
      <c r="U29" s="373">
        <f>F29-листопад!F29</f>
        <v>68.93999999999983</v>
      </c>
      <c r="V29" s="388">
        <f t="shared" si="12"/>
        <v>18.939999999999827</v>
      </c>
      <c r="W29" s="389">
        <f t="shared" si="22"/>
        <v>137.87999999999965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2123.14</v>
      </c>
      <c r="G30" s="385">
        <f t="shared" si="11"/>
        <v>104.03999999999996</v>
      </c>
      <c r="H30" s="387">
        <f t="shared" si="14"/>
        <v>1.0515279084740725</v>
      </c>
      <c r="I30" s="388">
        <f t="shared" si="1"/>
        <v>104.03999999999996</v>
      </c>
      <c r="J30" s="389">
        <f t="shared" si="19"/>
        <v>1.0515279084740725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155.12999999999988</v>
      </c>
      <c r="S30" s="389">
        <f t="shared" si="18"/>
        <v>1.078825818974497</v>
      </c>
      <c r="T30" s="373">
        <f>E30-листопад!E30</f>
        <v>0</v>
      </c>
      <c r="U30" s="373">
        <f>F30-листопад!F30</f>
        <v>26.269999999999982</v>
      </c>
      <c r="V30" s="388">
        <f t="shared" si="12"/>
        <v>26.269999999999982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f>18967.6+2180</f>
        <v>21147.6</v>
      </c>
      <c r="E31" s="386">
        <f t="shared" si="21"/>
        <v>21147.6</v>
      </c>
      <c r="F31" s="373">
        <v>21512.44</v>
      </c>
      <c r="G31" s="385">
        <f t="shared" si="11"/>
        <v>364.84000000000015</v>
      </c>
      <c r="H31" s="387">
        <f t="shared" si="14"/>
        <v>1.0172520758856798</v>
      </c>
      <c r="I31" s="388">
        <f t="shared" si="1"/>
        <v>364.84000000000015</v>
      </c>
      <c r="J31" s="389">
        <f t="shared" si="19"/>
        <v>1.0172520758856798</v>
      </c>
      <c r="K31" s="299"/>
      <c r="L31" s="299"/>
      <c r="M31" s="299"/>
      <c r="N31" s="388">
        <v>18671.45</v>
      </c>
      <c r="O31" s="388">
        <f t="shared" si="16"/>
        <v>2476.149999999998</v>
      </c>
      <c r="P31" s="389">
        <f t="shared" si="17"/>
        <v>1.132616909774013</v>
      </c>
      <c r="Q31" s="388">
        <f t="shared" si="5"/>
        <v>18671.45</v>
      </c>
      <c r="R31" s="388">
        <f t="shared" si="6"/>
        <v>2840.989999999998</v>
      </c>
      <c r="S31" s="389">
        <f t="shared" si="18"/>
        <v>1.1521569026508385</v>
      </c>
      <c r="T31" s="373">
        <f>E31-листопад!E31</f>
        <v>2669.899999999998</v>
      </c>
      <c r="U31" s="373">
        <f>F31-листопад!F31</f>
        <v>506.84999999999854</v>
      </c>
      <c r="V31" s="388"/>
      <c r="W31" s="389">
        <f t="shared" si="22"/>
        <v>18.983857073298584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417.43</v>
      </c>
      <c r="G32" s="253">
        <f t="shared" si="11"/>
        <v>-232.57</v>
      </c>
      <c r="H32" s="378">
        <f t="shared" si="14"/>
        <v>0.6422</v>
      </c>
      <c r="I32" s="254">
        <f t="shared" si="1"/>
        <v>-232.57</v>
      </c>
      <c r="J32" s="305">
        <f t="shared" si="19"/>
        <v>0.6422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-284.42</v>
      </c>
      <c r="S32" s="212">
        <f t="shared" si="18"/>
        <v>0.5947567143976633</v>
      </c>
      <c r="T32" s="195">
        <f>E32-листопад!E32</f>
        <v>5</v>
      </c>
      <c r="U32" s="179">
        <f>F32-листопад!F32</f>
        <v>-38.94999999999999</v>
      </c>
      <c r="V32" s="166">
        <f t="shared" si="12"/>
        <v>-43.94999999999999</v>
      </c>
      <c r="W32" s="305">
        <f>U32/T32</f>
        <v>-7.789999999999997</v>
      </c>
      <c r="X32" s="364">
        <f t="shared" si="20"/>
        <v>-0.33136710123245705</v>
      </c>
    </row>
    <row r="33" spans="1:24" s="6" customFormat="1" ht="15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15.61</v>
      </c>
      <c r="G33" s="103">
        <f t="shared" si="11"/>
        <v>-334.39</v>
      </c>
      <c r="H33" s="376">
        <f t="shared" si="14"/>
        <v>0.0446</v>
      </c>
      <c r="I33" s="104">
        <f t="shared" si="1"/>
        <v>-334.39</v>
      </c>
      <c r="J33" s="109">
        <f t="shared" si="19"/>
        <v>0.0446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-334.8</v>
      </c>
      <c r="S33" s="109">
        <f t="shared" si="18"/>
        <v>0.0445478154162267</v>
      </c>
      <c r="T33" s="105">
        <f>E33-листопад!E33</f>
        <v>0</v>
      </c>
      <c r="U33" s="144">
        <f>F33-листопад!F33</f>
        <v>-50.92</v>
      </c>
      <c r="V33" s="106">
        <f t="shared" si="12"/>
        <v>-50.92</v>
      </c>
      <c r="W33" s="109" t="e">
        <f>U33/T33</f>
        <v>#DIV/0!</v>
      </c>
      <c r="X33" s="364"/>
    </row>
    <row r="34" spans="1:24" s="6" customFormat="1" ht="15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401.82</v>
      </c>
      <c r="G34" s="103">
        <f t="shared" si="11"/>
        <v>101.82</v>
      </c>
      <c r="H34" s="376">
        <f t="shared" si="14"/>
        <v>1.3394</v>
      </c>
      <c r="I34" s="104">
        <f t="shared" si="1"/>
        <v>101.82</v>
      </c>
      <c r="J34" s="109">
        <f t="shared" si="19"/>
        <v>1.3394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50.379999999999995</v>
      </c>
      <c r="S34" s="109">
        <f t="shared" si="18"/>
        <v>1.1433530616890508</v>
      </c>
      <c r="T34" s="105">
        <f>E34-листопад!E34</f>
        <v>5</v>
      </c>
      <c r="U34" s="144">
        <f>F34-листопад!F34</f>
        <v>11.96999999999997</v>
      </c>
      <c r="V34" s="106"/>
      <c r="W34" s="109">
        <f>U34/T34</f>
        <v>2.393999999999994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174508.51</v>
      </c>
      <c r="G35" s="150">
        <f t="shared" si="11"/>
        <v>-8783.48999999999</v>
      </c>
      <c r="H35" s="378">
        <f t="shared" si="14"/>
        <v>0.9520792505946796</v>
      </c>
      <c r="I35" s="254">
        <f t="shared" si="1"/>
        <v>-8783.48999999999</v>
      </c>
      <c r="J35" s="305">
        <f t="shared" si="19"/>
        <v>0.9520792505946796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14397.470000000001</v>
      </c>
      <c r="S35" s="211">
        <f t="shared" si="18"/>
        <v>1.0899217817834423</v>
      </c>
      <c r="T35" s="195">
        <f>E35-листопад!E35</f>
        <v>14640</v>
      </c>
      <c r="U35" s="179">
        <f>F35-листопад!F35</f>
        <v>8219.309999999998</v>
      </c>
      <c r="V35" s="166">
        <f t="shared" si="12"/>
        <v>-6420.690000000002</v>
      </c>
      <c r="W35" s="305">
        <f>U35/T35</f>
        <v>0.5614282786885244</v>
      </c>
      <c r="X35" s="364">
        <f t="shared" si="20"/>
        <v>-0.05485874053406925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56211.810000000005</v>
      </c>
      <c r="G36" s="223">
        <f t="shared" si="11"/>
        <v>-2321.189999999995</v>
      </c>
      <c r="H36" s="379">
        <f t="shared" si="14"/>
        <v>0.9603439085643997</v>
      </c>
      <c r="I36" s="299">
        <f t="shared" si="1"/>
        <v>-2321.189999999995</v>
      </c>
      <c r="J36" s="341">
        <f t="shared" si="19"/>
        <v>0.9603439085643997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6299.840000000004</v>
      </c>
      <c r="S36" s="228">
        <f t="shared" si="18"/>
        <v>1.1262190212087402</v>
      </c>
      <c r="T36" s="237">
        <f>E36-листопад!E36</f>
        <v>4800</v>
      </c>
      <c r="U36" s="237">
        <f>F36-листопад!F36</f>
        <v>2209.770000000004</v>
      </c>
      <c r="V36" s="299">
        <f t="shared" si="12"/>
        <v>-2590.229999999996</v>
      </c>
      <c r="W36" s="341">
        <f t="shared" si="22"/>
        <v>46.03687500000008</v>
      </c>
      <c r="X36" s="363">
        <f t="shared" si="20"/>
        <v>-0.046505677896504505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118296.70999999999</v>
      </c>
      <c r="G37" s="223">
        <f t="shared" si="11"/>
        <v>-6462.290000000008</v>
      </c>
      <c r="H37" s="379">
        <f t="shared" si="14"/>
        <v>0.9482018130956483</v>
      </c>
      <c r="I37" s="299">
        <f t="shared" si="1"/>
        <v>-6462.290000000008</v>
      </c>
      <c r="J37" s="341">
        <f t="shared" si="19"/>
        <v>0.9482018130956483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8097.649999999994</v>
      </c>
      <c r="S37" s="228">
        <f t="shared" si="18"/>
        <v>1.0734820242568313</v>
      </c>
      <c r="T37" s="237">
        <f>E37-листопад!E37</f>
        <v>9840</v>
      </c>
      <c r="U37" s="237">
        <f>F37-листопад!F37</f>
        <v>6009.559999999983</v>
      </c>
      <c r="V37" s="299">
        <f t="shared" si="12"/>
        <v>-3830.440000000017</v>
      </c>
      <c r="W37" s="341">
        <f t="shared" si="22"/>
        <v>61.072764227642104</v>
      </c>
      <c r="X37" s="363">
        <f t="shared" si="20"/>
        <v>-0.058641970267260035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52870.55</v>
      </c>
      <c r="G38" s="385">
        <f t="shared" si="11"/>
        <v>-2097.449999999997</v>
      </c>
      <c r="H38" s="387">
        <f t="shared" si="14"/>
        <v>0.9618423446368797</v>
      </c>
      <c r="I38" s="388">
        <f t="shared" si="1"/>
        <v>-2097.449999999997</v>
      </c>
      <c r="J38" s="389">
        <f t="shared" si="19"/>
        <v>0.9618423446368797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6263.470000000001</v>
      </c>
      <c r="S38" s="389">
        <f t="shared" si="18"/>
        <v>1.1343888095971686</v>
      </c>
      <c r="T38" s="373">
        <f>E38-листопад!E38</f>
        <v>4600</v>
      </c>
      <c r="U38" s="373">
        <f>F38-листопад!F38</f>
        <v>2101.1399999999994</v>
      </c>
      <c r="V38" s="388">
        <f t="shared" si="12"/>
        <v>-2498.8600000000006</v>
      </c>
      <c r="W38" s="389">
        <f t="shared" si="22"/>
        <v>45.67695652173912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98290.23</v>
      </c>
      <c r="G39" s="385">
        <f t="shared" si="11"/>
        <v>-5633.770000000004</v>
      </c>
      <c r="H39" s="387">
        <f t="shared" si="14"/>
        <v>0.9457895192640775</v>
      </c>
      <c r="I39" s="388">
        <f t="shared" si="1"/>
        <v>-5633.770000000004</v>
      </c>
      <c r="J39" s="389">
        <f t="shared" si="19"/>
        <v>0.9457895192640775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6932.8399999999965</v>
      </c>
      <c r="S39" s="389">
        <f t="shared" si="18"/>
        <v>1.0758870191015746</v>
      </c>
      <c r="T39" s="373">
        <f>E39-листопад!E39</f>
        <v>8885</v>
      </c>
      <c r="U39" s="373">
        <f>F39-листопад!F39</f>
        <v>4607.0199999999895</v>
      </c>
      <c r="V39" s="388">
        <f t="shared" si="12"/>
        <v>-4277.9800000000105</v>
      </c>
      <c r="W39" s="389">
        <f t="shared" si="22"/>
        <v>51.85166010129419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3341.26</v>
      </c>
      <c r="G40" s="385">
        <f t="shared" si="11"/>
        <v>-223.73999999999978</v>
      </c>
      <c r="H40" s="387">
        <f t="shared" si="14"/>
        <v>0.9372398316970547</v>
      </c>
      <c r="I40" s="388">
        <f t="shared" si="1"/>
        <v>-223.73999999999978</v>
      </c>
      <c r="J40" s="389">
        <f t="shared" si="19"/>
        <v>0.9372398316970547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36.370000000000346</v>
      </c>
      <c r="S40" s="389">
        <f t="shared" si="18"/>
        <v>1.0110049048531118</v>
      </c>
      <c r="T40" s="373">
        <f>E40-листопад!E40</f>
        <v>200</v>
      </c>
      <c r="U40" s="373">
        <f>F40-листопад!F40</f>
        <v>108.63000000000011</v>
      </c>
      <c r="V40" s="388">
        <f t="shared" si="12"/>
        <v>-91.36999999999989</v>
      </c>
      <c r="W40" s="389">
        <f t="shared" si="22"/>
        <v>54.315000000000055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20006.48</v>
      </c>
      <c r="G41" s="385">
        <f t="shared" si="11"/>
        <v>-828.5200000000004</v>
      </c>
      <c r="H41" s="387">
        <f t="shared" si="14"/>
        <v>0.960234221262299</v>
      </c>
      <c r="I41" s="388">
        <f t="shared" si="1"/>
        <v>-828.5200000000004</v>
      </c>
      <c r="J41" s="389">
        <f t="shared" si="19"/>
        <v>0.960234221262299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1164.7999999999993</v>
      </c>
      <c r="S41" s="389">
        <f t="shared" si="18"/>
        <v>1.0618203896892422</v>
      </c>
      <c r="T41" s="373">
        <f>E41-листопад!E41</f>
        <v>955</v>
      </c>
      <c r="U41" s="373">
        <f>F41-листопад!F41</f>
        <v>1402.5400000000009</v>
      </c>
      <c r="V41" s="388">
        <f t="shared" si="12"/>
        <v>447.5400000000009</v>
      </c>
      <c r="W41" s="389">
        <f t="shared" si="22"/>
        <v>146.86282722513099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-45.42</v>
      </c>
      <c r="G46" s="150">
        <f t="shared" si="11"/>
        <v>-45.42</v>
      </c>
      <c r="H46" s="375"/>
      <c r="I46" s="158">
        <f t="shared" si="1"/>
        <v>-45.42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132.55</v>
      </c>
      <c r="S46" s="210">
        <f t="shared" si="23"/>
        <v>0.2552115525088498</v>
      </c>
      <c r="T46" s="157">
        <f>E46-листопад!E46</f>
        <v>0</v>
      </c>
      <c r="U46" s="160">
        <f>F46-листопад!F46</f>
        <v>-2.539999999999999</v>
      </c>
      <c r="V46" s="161">
        <f t="shared" si="12"/>
        <v>-2.539999999999999</v>
      </c>
      <c r="W46" s="210"/>
      <c r="X46" s="363">
        <f t="shared" si="20"/>
        <v>0.2552115525088498</v>
      </c>
    </row>
    <row r="47" spans="1:24" s="6" customFormat="1" ht="18">
      <c r="A47" s="8"/>
      <c r="B47" s="44" t="s">
        <v>84</v>
      </c>
      <c r="C47" s="114">
        <v>18050000</v>
      </c>
      <c r="D47" s="162">
        <f>194394.1+3300+23209</f>
        <v>220903.1</v>
      </c>
      <c r="E47" s="162">
        <f aca="true" t="shared" si="24" ref="E47:E52">D47</f>
        <v>220903.1</v>
      </c>
      <c r="F47" s="163">
        <v>221719.52</v>
      </c>
      <c r="G47" s="150">
        <f t="shared" si="11"/>
        <v>816.4199999999837</v>
      </c>
      <c r="H47" s="375">
        <f>F47/E47*100</f>
        <v>100.36958286235004</v>
      </c>
      <c r="I47" s="158">
        <f t="shared" si="1"/>
        <v>816.4199999999837</v>
      </c>
      <c r="J47" s="210">
        <f>F47/D47</f>
        <v>1.0036958286235005</v>
      </c>
      <c r="K47" s="158"/>
      <c r="L47" s="158"/>
      <c r="M47" s="158"/>
      <c r="N47" s="158">
        <v>158268.6</v>
      </c>
      <c r="O47" s="158">
        <f t="shared" si="16"/>
        <v>62634.5</v>
      </c>
      <c r="P47" s="210">
        <f t="shared" si="17"/>
        <v>1.3957481142816706</v>
      </c>
      <c r="Q47" s="178">
        <f t="shared" si="5"/>
        <v>158268.6</v>
      </c>
      <c r="R47" s="178">
        <f t="shared" si="6"/>
        <v>63450.919999999984</v>
      </c>
      <c r="S47" s="226">
        <f t="shared" si="23"/>
        <v>1.4009065601136295</v>
      </c>
      <c r="T47" s="157">
        <f>E47-листопад!E47</f>
        <v>33148.100000000006</v>
      </c>
      <c r="U47" s="160">
        <f>F47-листопад!F47</f>
        <v>8918.76999999999</v>
      </c>
      <c r="V47" s="161">
        <f t="shared" si="12"/>
        <v>-24229.330000000016</v>
      </c>
      <c r="W47" s="210">
        <f>U47/T47</f>
        <v>0.26905825673266304</v>
      </c>
      <c r="X47" s="363">
        <f t="shared" si="20"/>
        <v>0.005158445831958902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f>41000+3300</f>
        <v>44300</v>
      </c>
      <c r="E49" s="103">
        <f t="shared" si="24"/>
        <v>44300</v>
      </c>
      <c r="F49" s="140">
        <v>44551.24</v>
      </c>
      <c r="G49" s="103">
        <f>F49-E49</f>
        <v>251.23999999999796</v>
      </c>
      <c r="H49" s="376">
        <f>F49/E49</f>
        <v>1.0056713318284425</v>
      </c>
      <c r="I49" s="104">
        <f t="shared" si="1"/>
        <v>251.23999999999796</v>
      </c>
      <c r="J49" s="109">
        <f>F49/D49</f>
        <v>1.0056713318284425</v>
      </c>
      <c r="K49" s="104"/>
      <c r="L49" s="104"/>
      <c r="M49" s="104"/>
      <c r="N49" s="104">
        <v>39173.72</v>
      </c>
      <c r="O49" s="104">
        <f t="shared" si="16"/>
        <v>5126.279999999999</v>
      </c>
      <c r="P49" s="109">
        <f t="shared" si="17"/>
        <v>1.1308601787116463</v>
      </c>
      <c r="Q49" s="127">
        <f t="shared" si="5"/>
        <v>39173.72</v>
      </c>
      <c r="R49" s="127">
        <f t="shared" si="6"/>
        <v>5377.519999999997</v>
      </c>
      <c r="S49" s="216">
        <f t="shared" si="23"/>
        <v>1.137273662036692</v>
      </c>
      <c r="T49" s="105">
        <f>E49-листопад!E49</f>
        <v>4800</v>
      </c>
      <c r="U49" s="144">
        <f>F49-листопад!F49</f>
        <v>1237.1299999999974</v>
      </c>
      <c r="V49" s="106">
        <f t="shared" si="12"/>
        <v>-3562.8700000000026</v>
      </c>
      <c r="W49" s="109">
        <f>U49/T49</f>
        <v>0.2577354166666661</v>
      </c>
      <c r="X49" s="363">
        <f t="shared" si="20"/>
        <v>0.006413483325045544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f>153339.1+23209</f>
        <v>176548.1</v>
      </c>
      <c r="E50" s="103">
        <f t="shared" si="24"/>
        <v>176548.1</v>
      </c>
      <c r="F50" s="140">
        <v>177103.29</v>
      </c>
      <c r="G50" s="103">
        <f>F50-E50</f>
        <v>555.1900000000023</v>
      </c>
      <c r="H50" s="376">
        <f>F50/E50</f>
        <v>1.0031446954116188</v>
      </c>
      <c r="I50" s="104">
        <f t="shared" si="1"/>
        <v>555.1900000000023</v>
      </c>
      <c r="J50" s="109">
        <f>F50/D50</f>
        <v>1.0031446954116188</v>
      </c>
      <c r="K50" s="104"/>
      <c r="L50" s="104"/>
      <c r="M50" s="104"/>
      <c r="N50" s="104">
        <v>119039.46</v>
      </c>
      <c r="O50" s="104">
        <f t="shared" si="16"/>
        <v>57508.64</v>
      </c>
      <c r="P50" s="109">
        <f t="shared" si="17"/>
        <v>1.4831056861313046</v>
      </c>
      <c r="Q50" s="127">
        <f t="shared" si="5"/>
        <v>119039.46</v>
      </c>
      <c r="R50" s="127">
        <f t="shared" si="6"/>
        <v>58063.83</v>
      </c>
      <c r="S50" s="216">
        <f t="shared" si="23"/>
        <v>1.4877696017774273</v>
      </c>
      <c r="T50" s="105">
        <f>E50-листопад!E50</f>
        <v>28348.100000000006</v>
      </c>
      <c r="U50" s="144">
        <f>F50-листопад!F50</f>
        <v>7681.640000000014</v>
      </c>
      <c r="V50" s="106">
        <f t="shared" si="12"/>
        <v>-20666.459999999992</v>
      </c>
      <c r="W50" s="109">
        <f>U50/T50</f>
        <v>0.2709754798381554</v>
      </c>
      <c r="X50" s="363">
        <f t="shared" si="20"/>
        <v>0.004663915646122785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67930</v>
      </c>
      <c r="E53" s="151">
        <f>E54+E55+E56+E57+E58+E60+E62+E63+E64+E65+E66+E71+E72+E76+E59+E61</f>
        <v>67930</v>
      </c>
      <c r="F53" s="151">
        <f>F54+F55+F56+F57+F58+F60+F62+F63+F64+F65+F66+F71+F72+F76+F59+F61</f>
        <v>68930.3</v>
      </c>
      <c r="G53" s="151">
        <f>G54+G55+G56+G57+G58+G60+G62+G63+G64+G65+G66+G71+G72+G76+G59+G61</f>
        <v>1000.2999999999992</v>
      </c>
      <c r="H53" s="205">
        <f aca="true" t="shared" si="25" ref="H53:H72">F53/E53</f>
        <v>1.014725452671868</v>
      </c>
      <c r="I53" s="153">
        <f>F53-D53</f>
        <v>1000.3000000000029</v>
      </c>
      <c r="J53" s="219">
        <f aca="true" t="shared" si="26" ref="J53:J72">F53/D53</f>
        <v>1.014725452671868</v>
      </c>
      <c r="K53" s="153"/>
      <c r="L53" s="153"/>
      <c r="M53" s="153"/>
      <c r="N53" s="153">
        <v>68752.68</v>
      </c>
      <c r="O53" s="153">
        <f>D53-N53</f>
        <v>-822.679999999993</v>
      </c>
      <c r="P53" s="219">
        <f>D53/N53</f>
        <v>0.9880342119027216</v>
      </c>
      <c r="Q53" s="287">
        <f>N53</f>
        <v>68752.68</v>
      </c>
      <c r="R53" s="151">
        <f t="shared" si="6"/>
        <v>177.6200000000099</v>
      </c>
      <c r="S53" s="205">
        <f>F53/Q53</f>
        <v>1.0025834629282817</v>
      </c>
      <c r="T53" s="151">
        <f>T54+T55+T56+T57+T58+T60+T62+T63+T64+T65+T66+T71+T72+T76+T59+T61</f>
        <v>5752.1</v>
      </c>
      <c r="U53" s="151">
        <f>U54+U55+U56+U57+U58+U60+U62+U63+U64+U65+U66+U71+U72+U76+U59+U61</f>
        <v>6240.370000000002</v>
      </c>
      <c r="V53" s="151">
        <f>V54+V55+V56+V57+V58+V60+V62+V63+V64+V65+V66+V71+V72+V76</f>
        <v>480.2700000000009</v>
      </c>
      <c r="W53" s="205">
        <f>U53/T53</f>
        <v>1.0848855200709309</v>
      </c>
      <c r="X53" s="363">
        <f t="shared" si="20"/>
        <v>0.01454925102556015</v>
      </c>
    </row>
    <row r="54" spans="1:24" s="6" customFormat="1" ht="46.5">
      <c r="A54" s="8"/>
      <c r="B54" s="225" t="s">
        <v>98</v>
      </c>
      <c r="C54" s="43">
        <v>21010301</v>
      </c>
      <c r="D54" s="150">
        <f>580+2053</f>
        <v>2633</v>
      </c>
      <c r="E54" s="150">
        <f>D54</f>
        <v>2633</v>
      </c>
      <c r="F54" s="156">
        <v>2633.96</v>
      </c>
      <c r="G54" s="150">
        <f aca="true" t="shared" si="27" ref="G54:G78">F54-E54</f>
        <v>0.9600000000000364</v>
      </c>
      <c r="H54" s="380">
        <f t="shared" si="25"/>
        <v>1.0003646031143183</v>
      </c>
      <c r="I54" s="165">
        <f>F54-D54</f>
        <v>0.9600000000000364</v>
      </c>
      <c r="J54" s="218">
        <f t="shared" si="26"/>
        <v>1.0003646031143183</v>
      </c>
      <c r="K54" s="165"/>
      <c r="L54" s="165"/>
      <c r="M54" s="165"/>
      <c r="N54" s="165">
        <v>551.04</v>
      </c>
      <c r="O54" s="165">
        <f>D54-N54</f>
        <v>2081.96</v>
      </c>
      <c r="P54" s="218">
        <f>D54/N54</f>
        <v>4.778237514518002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2053</v>
      </c>
      <c r="U54" s="160">
        <f>F54-листопад!F54</f>
        <v>0</v>
      </c>
      <c r="V54" s="161">
        <f aca="true" t="shared" si="28" ref="V54:V78">U54-T54</f>
        <v>-2053</v>
      </c>
      <c r="W54" s="218">
        <f>U54/T54</f>
        <v>0</v>
      </c>
      <c r="X54" s="363">
        <f t="shared" si="20"/>
        <v>0.0017421602787459634</v>
      </c>
    </row>
    <row r="55" spans="1:24" s="6" customFormat="1" ht="30.75">
      <c r="A55" s="8"/>
      <c r="B55" s="129" t="s">
        <v>77</v>
      </c>
      <c r="C55" s="42">
        <v>21050000</v>
      </c>
      <c r="D55" s="150">
        <f>26400+1000</f>
        <v>27400</v>
      </c>
      <c r="E55" s="150">
        <f aca="true" t="shared" si="29" ref="E55:E65">D55</f>
        <v>27400</v>
      </c>
      <c r="F55" s="156">
        <v>27997.6</v>
      </c>
      <c r="G55" s="150">
        <f t="shared" si="27"/>
        <v>597.5999999999985</v>
      </c>
      <c r="H55" s="380">
        <f t="shared" si="25"/>
        <v>1.0218102189781022</v>
      </c>
      <c r="I55" s="165">
        <f aca="true" t="shared" si="30" ref="I55:I78">F55-D55</f>
        <v>597.5999999999985</v>
      </c>
      <c r="J55" s="218">
        <f t="shared" si="26"/>
        <v>1.0218102189781022</v>
      </c>
      <c r="K55" s="165"/>
      <c r="L55" s="165"/>
      <c r="M55" s="165"/>
      <c r="N55" s="165">
        <v>36136.57</v>
      </c>
      <c r="O55" s="165">
        <f aca="true" t="shared" si="31" ref="O55:O72">D55-N55</f>
        <v>-8736.57</v>
      </c>
      <c r="P55" s="218">
        <f aca="true" t="shared" si="32" ref="P55:P72">D55/N55</f>
        <v>0.7582346636661974</v>
      </c>
      <c r="Q55" s="165">
        <f aca="true" t="shared" si="33" ref="Q55:Q66">N55</f>
        <v>36136.57</v>
      </c>
      <c r="R55" s="165">
        <f t="shared" si="6"/>
        <v>-8138.970000000001</v>
      </c>
      <c r="S55" s="218">
        <f aca="true" t="shared" si="34" ref="S55:S78">F55/Q55</f>
        <v>0.7747719277175448</v>
      </c>
      <c r="T55" s="157">
        <f>E55-листопад!E55</f>
        <v>1000</v>
      </c>
      <c r="U55" s="160">
        <f>F55-листопад!F55</f>
        <v>3307.459999999999</v>
      </c>
      <c r="V55" s="161">
        <f t="shared" si="28"/>
        <v>2307.459999999999</v>
      </c>
      <c r="W55" s="218">
        <f aca="true" t="shared" si="35" ref="W55:W77">U55/T55</f>
        <v>3.307459999999999</v>
      </c>
      <c r="X55" s="363">
        <f t="shared" si="20"/>
        <v>0.016537264051347367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697.81</v>
      </c>
      <c r="G58" s="150">
        <f t="shared" si="27"/>
        <v>37.809999999999945</v>
      </c>
      <c r="H58" s="380">
        <f t="shared" si="25"/>
        <v>1.0572878787878788</v>
      </c>
      <c r="I58" s="165">
        <f t="shared" si="30"/>
        <v>37.809999999999945</v>
      </c>
      <c r="J58" s="218">
        <f t="shared" si="26"/>
        <v>1.0572878787878788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456.73999999999995</v>
      </c>
      <c r="S58" s="218">
        <f t="shared" si="34"/>
        <v>2.894636412660223</v>
      </c>
      <c r="T58" s="157">
        <f>E58-листопад!E58</f>
        <v>22</v>
      </c>
      <c r="U58" s="160">
        <f>F58-листопад!F58</f>
        <v>27.209999999999923</v>
      </c>
      <c r="V58" s="161">
        <f t="shared" si="28"/>
        <v>5.209999999999923</v>
      </c>
      <c r="W58" s="218">
        <f t="shared" si="35"/>
        <v>1.2368181818181783</v>
      </c>
      <c r="X58" s="363">
        <f t="shared" si="20"/>
        <v>0.15684241091799045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122.25</v>
      </c>
      <c r="G59" s="150">
        <f t="shared" si="27"/>
        <v>24.75</v>
      </c>
      <c r="H59" s="380">
        <f t="shared" si="25"/>
        <v>1.2538461538461538</v>
      </c>
      <c r="I59" s="165">
        <f t="shared" si="30"/>
        <v>24.75</v>
      </c>
      <c r="J59" s="218">
        <f t="shared" si="26"/>
        <v>1.2538461538461538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35.879999999999995</v>
      </c>
      <c r="S59" s="218">
        <f t="shared" si="34"/>
        <v>1.4154220215352553</v>
      </c>
      <c r="T59" s="157">
        <f>E59-листопад!E59</f>
        <v>9.099999999999994</v>
      </c>
      <c r="U59" s="160">
        <f>F59-листопад!F59</f>
        <v>17.099999999999994</v>
      </c>
      <c r="V59" s="161">
        <f t="shared" si="28"/>
        <v>8</v>
      </c>
      <c r="W59" s="218">
        <f t="shared" si="35"/>
        <v>1.8791208791208798</v>
      </c>
      <c r="X59" s="363">
        <f t="shared" si="20"/>
        <v>0.2865578325807572</v>
      </c>
    </row>
    <row r="60" spans="1:24" s="6" customFormat="1" ht="30.75">
      <c r="A60" s="8"/>
      <c r="B60" s="349" t="s">
        <v>105</v>
      </c>
      <c r="C60" s="49">
        <v>22010300</v>
      </c>
      <c r="D60" s="150">
        <f>980+193</f>
        <v>1173</v>
      </c>
      <c r="E60" s="150">
        <f t="shared" si="29"/>
        <v>1173</v>
      </c>
      <c r="F60" s="156">
        <v>1184.13</v>
      </c>
      <c r="G60" s="150">
        <f t="shared" si="27"/>
        <v>11.13000000000011</v>
      </c>
      <c r="H60" s="380">
        <f t="shared" si="25"/>
        <v>1.0094884910485935</v>
      </c>
      <c r="I60" s="165">
        <f t="shared" si="30"/>
        <v>11.13000000000011</v>
      </c>
      <c r="J60" s="218">
        <f t="shared" si="26"/>
        <v>1.0094884910485935</v>
      </c>
      <c r="K60" s="165"/>
      <c r="L60" s="165"/>
      <c r="M60" s="165"/>
      <c r="N60" s="165">
        <v>791.33</v>
      </c>
      <c r="O60" s="165">
        <f t="shared" si="31"/>
        <v>381.66999999999996</v>
      </c>
      <c r="P60" s="218">
        <f t="shared" si="32"/>
        <v>1.4823145843074317</v>
      </c>
      <c r="Q60" s="165">
        <f t="shared" si="33"/>
        <v>791.33</v>
      </c>
      <c r="R60" s="165">
        <f t="shared" si="6"/>
        <v>392.80000000000007</v>
      </c>
      <c r="S60" s="218">
        <f t="shared" si="34"/>
        <v>1.4963795129718322</v>
      </c>
      <c r="T60" s="157">
        <f>E60-листопад!E60</f>
        <v>213</v>
      </c>
      <c r="U60" s="160">
        <f>F60-листопад!F60</f>
        <v>86.98000000000002</v>
      </c>
      <c r="V60" s="161">
        <f t="shared" si="28"/>
        <v>-126.01999999999998</v>
      </c>
      <c r="W60" s="218">
        <f t="shared" si="35"/>
        <v>0.4083568075117372</v>
      </c>
      <c r="X60" s="363">
        <f t="shared" si="20"/>
        <v>0.014064928664400567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f>19000+700</f>
        <v>19700</v>
      </c>
      <c r="E62" s="150">
        <f t="shared" si="29"/>
        <v>19700</v>
      </c>
      <c r="F62" s="156">
        <v>19876.52</v>
      </c>
      <c r="G62" s="150">
        <f t="shared" si="27"/>
        <v>176.52000000000044</v>
      </c>
      <c r="H62" s="380">
        <f t="shared" si="25"/>
        <v>1.0089604060913706</v>
      </c>
      <c r="I62" s="165">
        <f t="shared" si="30"/>
        <v>176.52000000000044</v>
      </c>
      <c r="J62" s="218">
        <f t="shared" si="26"/>
        <v>1.0089604060913706</v>
      </c>
      <c r="K62" s="165"/>
      <c r="L62" s="165"/>
      <c r="M62" s="165"/>
      <c r="N62" s="165">
        <v>11422.5</v>
      </c>
      <c r="O62" s="165">
        <f t="shared" si="31"/>
        <v>8277.5</v>
      </c>
      <c r="P62" s="218">
        <f t="shared" si="32"/>
        <v>1.7246662289341212</v>
      </c>
      <c r="Q62" s="165">
        <f t="shared" si="33"/>
        <v>11422.5</v>
      </c>
      <c r="R62" s="165">
        <f t="shared" si="6"/>
        <v>8454.02</v>
      </c>
      <c r="S62" s="218">
        <f t="shared" si="34"/>
        <v>1.7401199387174437</v>
      </c>
      <c r="T62" s="157">
        <f>E62-листопад!E62</f>
        <v>1400</v>
      </c>
      <c r="U62" s="160">
        <f>F62-листопад!F62</f>
        <v>1435.170000000002</v>
      </c>
      <c r="V62" s="161">
        <f t="shared" si="28"/>
        <v>35.17000000000189</v>
      </c>
      <c r="W62" s="218">
        <f t="shared" si="35"/>
        <v>1.0251214285714298</v>
      </c>
      <c r="X62" s="363">
        <f t="shared" si="20"/>
        <v>0.0154537097833225</v>
      </c>
    </row>
    <row r="63" spans="1:24" s="6" customFormat="1" ht="31.5">
      <c r="A63" s="8"/>
      <c r="B63" s="355" t="s">
        <v>99</v>
      </c>
      <c r="C63" s="72">
        <v>22012600</v>
      </c>
      <c r="D63" s="150">
        <f>530+164</f>
        <v>694</v>
      </c>
      <c r="E63" s="150">
        <f t="shared" si="29"/>
        <v>694</v>
      </c>
      <c r="F63" s="156">
        <v>703.16</v>
      </c>
      <c r="G63" s="150">
        <f t="shared" si="27"/>
        <v>9.159999999999968</v>
      </c>
      <c r="H63" s="380">
        <f t="shared" si="25"/>
        <v>1.0131988472622477</v>
      </c>
      <c r="I63" s="165">
        <f t="shared" si="30"/>
        <v>9.159999999999968</v>
      </c>
      <c r="J63" s="218">
        <f t="shared" si="26"/>
        <v>1.0131988472622477</v>
      </c>
      <c r="K63" s="165"/>
      <c r="L63" s="165"/>
      <c r="M63" s="165"/>
      <c r="N63" s="165">
        <v>323.25</v>
      </c>
      <c r="O63" s="165">
        <f t="shared" si="31"/>
        <v>370.75</v>
      </c>
      <c r="P63" s="218">
        <f t="shared" si="32"/>
        <v>2.1469450889404484</v>
      </c>
      <c r="Q63" s="165">
        <f t="shared" si="33"/>
        <v>323.25</v>
      </c>
      <c r="R63" s="165">
        <f t="shared" si="6"/>
        <v>379.90999999999997</v>
      </c>
      <c r="S63" s="218">
        <f t="shared" si="34"/>
        <v>2.1752822892498065</v>
      </c>
      <c r="T63" s="157">
        <f>E63-листопад!E63</f>
        <v>189</v>
      </c>
      <c r="U63" s="160">
        <f>F63-листопад!F63</f>
        <v>89.98000000000002</v>
      </c>
      <c r="V63" s="161">
        <f t="shared" si="28"/>
        <v>-99.01999999999998</v>
      </c>
      <c r="W63" s="218">
        <f t="shared" si="35"/>
        <v>0.47608465608465617</v>
      </c>
      <c r="X63" s="363">
        <f t="shared" si="20"/>
        <v>0.028337200309358046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39.04</v>
      </c>
      <c r="G64" s="150">
        <f t="shared" si="27"/>
        <v>19.04</v>
      </c>
      <c r="H64" s="380">
        <f t="shared" si="25"/>
        <v>1.952</v>
      </c>
      <c r="I64" s="165">
        <f t="shared" si="30"/>
        <v>19.04</v>
      </c>
      <c r="J64" s="218">
        <f t="shared" si="26"/>
        <v>1.952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16.68</v>
      </c>
      <c r="S64" s="218">
        <f t="shared" si="34"/>
        <v>1.745974955277281</v>
      </c>
      <c r="T64" s="157">
        <f>E64-листопад!E64</f>
        <v>1</v>
      </c>
      <c r="U64" s="160">
        <f>F64-листопад!F64</f>
        <v>0.9600000000000009</v>
      </c>
      <c r="V64" s="161">
        <f t="shared" si="28"/>
        <v>-0.03999999999999915</v>
      </c>
      <c r="W64" s="218">
        <f t="shared" si="35"/>
        <v>0.9600000000000009</v>
      </c>
      <c r="X64" s="363">
        <f t="shared" si="20"/>
        <v>0.8515205724508051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851.05</v>
      </c>
      <c r="G66" s="150">
        <f t="shared" si="27"/>
        <v>-135.95000000000005</v>
      </c>
      <c r="H66" s="380">
        <f t="shared" si="25"/>
        <v>0.8622593718338398</v>
      </c>
      <c r="I66" s="165">
        <f t="shared" si="30"/>
        <v>-135.95000000000005</v>
      </c>
      <c r="J66" s="218">
        <f t="shared" si="26"/>
        <v>0.8622593718338398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-4310.29</v>
      </c>
      <c r="S66" s="218">
        <f t="shared" si="34"/>
        <v>0.164889350440002</v>
      </c>
      <c r="T66" s="157">
        <f>E66-листопад!E66</f>
        <v>2</v>
      </c>
      <c r="U66" s="160">
        <f>F66-листопад!F66</f>
        <v>65.46999999999991</v>
      </c>
      <c r="V66" s="161">
        <f t="shared" si="28"/>
        <v>63.469999999999914</v>
      </c>
      <c r="W66" s="218">
        <f t="shared" si="35"/>
        <v>32.73499999999996</v>
      </c>
      <c r="X66" s="363">
        <f t="shared" si="20"/>
        <v>-0.026340058976932368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716.54</v>
      </c>
      <c r="G67" s="103">
        <f t="shared" si="27"/>
        <v>-103.46000000000004</v>
      </c>
      <c r="H67" s="376">
        <f t="shared" si="25"/>
        <v>0.8738292682926829</v>
      </c>
      <c r="I67" s="104">
        <f t="shared" si="30"/>
        <v>-103.46000000000004</v>
      </c>
      <c r="J67" s="109">
        <f t="shared" si="26"/>
        <v>0.8738292682926829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-118.67000000000007</v>
      </c>
      <c r="S67" s="371">
        <f t="shared" si="34"/>
        <v>0.8579159732282898</v>
      </c>
      <c r="T67" s="105">
        <f>E67-листопад!E67</f>
        <v>0</v>
      </c>
      <c r="U67" s="144">
        <f>F67-листопад!F67</f>
        <v>54.77999999999997</v>
      </c>
      <c r="V67" s="106">
        <f t="shared" si="28"/>
        <v>54.77999999999997</v>
      </c>
      <c r="W67" s="109" t="e">
        <f t="shared" si="35"/>
        <v>#DIV/0!</v>
      </c>
      <c r="X67" s="363">
        <f t="shared" si="20"/>
        <v>-0.12387303791860726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134.33</v>
      </c>
      <c r="G70" s="103">
        <f t="shared" si="27"/>
        <v>-30.669999999999987</v>
      </c>
      <c r="H70" s="376">
        <f t="shared" si="25"/>
        <v>0.8141212121212122</v>
      </c>
      <c r="I70" s="104">
        <f t="shared" si="30"/>
        <v>-30.669999999999987</v>
      </c>
      <c r="J70" s="109">
        <f t="shared" si="26"/>
        <v>0.8141212121212122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-4191.41</v>
      </c>
      <c r="S70" s="371">
        <f t="shared" si="34"/>
        <v>0.031053646312538437</v>
      </c>
      <c r="T70" s="105">
        <f>E70-листопад!E70</f>
        <v>0</v>
      </c>
      <c r="U70" s="144">
        <f>F70-листопад!F70</f>
        <v>10.690000000000012</v>
      </c>
      <c r="V70" s="106">
        <f t="shared" si="28"/>
        <v>10.690000000000012</v>
      </c>
      <c r="W70" s="109" t="e">
        <f t="shared" si="35"/>
        <v>#DIV/0!</v>
      </c>
      <c r="X70" s="363">
        <f t="shared" si="20"/>
        <v>-0.007090116373152336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f>7350+525</f>
        <v>7875</v>
      </c>
      <c r="E72" s="150">
        <f t="shared" si="36"/>
        <v>7875</v>
      </c>
      <c r="F72" s="156">
        <v>7944.97</v>
      </c>
      <c r="G72" s="150">
        <f t="shared" si="27"/>
        <v>69.97000000000025</v>
      </c>
      <c r="H72" s="380">
        <f t="shared" si="25"/>
        <v>1.0088850793650794</v>
      </c>
      <c r="I72" s="165">
        <f t="shared" si="30"/>
        <v>69.97000000000025</v>
      </c>
      <c r="J72" s="218">
        <f t="shared" si="26"/>
        <v>1.0088850793650794</v>
      </c>
      <c r="K72" s="165"/>
      <c r="L72" s="165"/>
      <c r="M72" s="165"/>
      <c r="N72" s="165">
        <v>6525.16</v>
      </c>
      <c r="O72" s="165">
        <f t="shared" si="31"/>
        <v>1349.8400000000001</v>
      </c>
      <c r="P72" s="218">
        <f t="shared" si="32"/>
        <v>1.2068669580516034</v>
      </c>
      <c r="Q72" s="165">
        <f t="shared" si="37"/>
        <v>6525.16</v>
      </c>
      <c r="R72" s="165">
        <f t="shared" si="6"/>
        <v>1419.8100000000004</v>
      </c>
      <c r="S72" s="218">
        <f t="shared" si="34"/>
        <v>1.217590066756984</v>
      </c>
      <c r="T72" s="157">
        <f>E72-листопад!E72</f>
        <v>775</v>
      </c>
      <c r="U72" s="160">
        <f>F72-листопад!F72</f>
        <v>579.6800000000003</v>
      </c>
      <c r="V72" s="161">
        <f t="shared" si="28"/>
        <v>-195.3199999999997</v>
      </c>
      <c r="W72" s="218">
        <f t="shared" si="35"/>
        <v>0.7479741935483875</v>
      </c>
      <c r="X72" s="363">
        <f t="shared" si="20"/>
        <v>0.010723108705380513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2070.21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1.467006335123797</v>
      </c>
      <c r="T74" s="157"/>
      <c r="U74" s="179">
        <f>F74-листопад!F74</f>
        <v>121.32999999999993</v>
      </c>
      <c r="V74" s="166">
        <f t="shared" si="28"/>
        <v>121.32999999999993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-4.88</v>
      </c>
      <c r="G78" s="150">
        <f t="shared" si="27"/>
        <v>-4.88</v>
      </c>
      <c r="H78" s="380" t="e">
        <f>F78/E78</f>
        <v>#DIV/0!</v>
      </c>
      <c r="I78" s="165">
        <f t="shared" si="30"/>
        <v>-4.88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-12.25</v>
      </c>
      <c r="S78" s="218">
        <f t="shared" si="34"/>
        <v>-0.6621438263229308</v>
      </c>
      <c r="T78" s="157">
        <f>E78-листопад!E78</f>
        <v>0</v>
      </c>
      <c r="U78" s="160">
        <f>F78-листопад!F78</f>
        <v>0.1200000000000001</v>
      </c>
      <c r="V78" s="161">
        <f t="shared" si="28"/>
        <v>0.1200000000000001</v>
      </c>
      <c r="W78" s="218"/>
      <c r="X78" s="363">
        <f t="shared" si="20"/>
        <v>-0.6621438263229308</v>
      </c>
    </row>
    <row r="79" spans="1:24" s="6" customFormat="1" ht="17.25">
      <c r="A79" s="9"/>
      <c r="B79" s="14" t="s">
        <v>184</v>
      </c>
      <c r="C79" s="62"/>
      <c r="D79" s="151">
        <f>D8+D53+D77+D78</f>
        <v>1398891.1</v>
      </c>
      <c r="E79" s="151">
        <f>E8+E53+E77+E78</f>
        <v>1398891.1</v>
      </c>
      <c r="F79" s="151">
        <f>F8+F53+F77+F78</f>
        <v>1365618.1300000001</v>
      </c>
      <c r="G79" s="151">
        <f>F79-E79</f>
        <v>-33272.96999999997</v>
      </c>
      <c r="H79" s="377">
        <f>F79/E79</f>
        <v>0.976214753242765</v>
      </c>
      <c r="I79" s="153">
        <f>F79-D79</f>
        <v>-33272.96999999997</v>
      </c>
      <c r="J79" s="219">
        <f>F79/D79</f>
        <v>0.976214753242765</v>
      </c>
      <c r="K79" s="153"/>
      <c r="L79" s="153"/>
      <c r="M79" s="153"/>
      <c r="N79" s="153">
        <v>1053569.51</v>
      </c>
      <c r="O79" s="153">
        <f>D79-N79</f>
        <v>345321.5900000001</v>
      </c>
      <c r="P79" s="219">
        <f>D79/N79</f>
        <v>1.3277634619475653</v>
      </c>
      <c r="Q79" s="151">
        <f>N79</f>
        <v>1053569.51</v>
      </c>
      <c r="R79" s="153">
        <f>F79-Q79</f>
        <v>312048.6200000001</v>
      </c>
      <c r="S79" s="219">
        <f>F79/Q79</f>
        <v>1.296182280369902</v>
      </c>
      <c r="T79" s="151">
        <f>T8+T53+T77+T78</f>
        <v>154133.80000000002</v>
      </c>
      <c r="U79" s="151">
        <f>U8+U53+U77+U78</f>
        <v>96706.49000000003</v>
      </c>
      <c r="V79" s="194">
        <f>U79-T79</f>
        <v>-57427.30999999998</v>
      </c>
      <c r="W79" s="219">
        <f>U79/T79</f>
        <v>0.6274190995096469</v>
      </c>
      <c r="X79" s="363">
        <f t="shared" si="20"/>
        <v>-0.03158118157766343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74458.74-3362.35-55059.935</f>
        <v>16036.455000000002</v>
      </c>
      <c r="E88" s="180">
        <f>D88</f>
        <v>16036.455000000002</v>
      </c>
      <c r="F88" s="181">
        <v>938.13</v>
      </c>
      <c r="G88" s="162">
        <f t="shared" si="41"/>
        <v>-15098.325000000003</v>
      </c>
      <c r="H88" s="380">
        <f>F88/E88</f>
        <v>0.0584998367781408</v>
      </c>
      <c r="I88" s="167">
        <f>F88-D88</f>
        <v>-15098.325000000003</v>
      </c>
      <c r="J88" s="209">
        <f>F88/D88</f>
        <v>0.0584998367781408</v>
      </c>
      <c r="K88" s="167"/>
      <c r="L88" s="167"/>
      <c r="M88" s="167"/>
      <c r="N88" s="167">
        <v>4618.99</v>
      </c>
      <c r="O88" s="167">
        <f t="shared" si="42"/>
        <v>11417.465000000002</v>
      </c>
      <c r="P88" s="209">
        <f t="shared" si="43"/>
        <v>3.4718531540444992</v>
      </c>
      <c r="Q88" s="167">
        <f t="shared" si="38"/>
        <v>4618.99</v>
      </c>
      <c r="R88" s="167">
        <f t="shared" si="39"/>
        <v>-3680.8599999999997</v>
      </c>
      <c r="S88" s="209">
        <f t="shared" si="40"/>
        <v>0.20310284282927654</v>
      </c>
      <c r="T88" s="157">
        <f>E88-листопад!E88</f>
        <v>-39807.055</v>
      </c>
      <c r="U88" s="160">
        <f>F88-листопад!F88</f>
        <v>0.029999999999972715</v>
      </c>
      <c r="V88" s="167">
        <f t="shared" si="44"/>
        <v>39807.085</v>
      </c>
      <c r="W88" s="209">
        <f>U88/T88</f>
        <v>-7.536352538506733E-07</v>
      </c>
      <c r="X88" s="363">
        <f t="shared" si="20"/>
        <v>-3.2687503112152227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7980.8</v>
      </c>
      <c r="G89" s="162">
        <f t="shared" si="41"/>
        <v>-46019.2</v>
      </c>
      <c r="H89" s="380">
        <f>F89/E89</f>
        <v>0.1477925925925926</v>
      </c>
      <c r="I89" s="167">
        <f aca="true" t="shared" si="45" ref="I89:I98">F89-D89</f>
        <v>-46019.2</v>
      </c>
      <c r="J89" s="209">
        <f>F89/D89</f>
        <v>0.1477925925925926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-2454.9700000000003</v>
      </c>
      <c r="S89" s="209">
        <f t="shared" si="40"/>
        <v>0.7647543017908597</v>
      </c>
      <c r="T89" s="157">
        <f>E89-листопад!E89</f>
        <v>20370</v>
      </c>
      <c r="U89" s="160">
        <f>F89-листопад!F89</f>
        <v>125.8100000000004</v>
      </c>
      <c r="V89" s="167">
        <f t="shared" si="44"/>
        <v>-20244.19</v>
      </c>
      <c r="W89" s="209">
        <f>U89/T89</f>
        <v>0.006176239567992165</v>
      </c>
      <c r="X89" s="363">
        <f t="shared" si="20"/>
        <v>-4.409756060166139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16679.32</v>
      </c>
      <c r="G90" s="162">
        <f t="shared" si="41"/>
        <v>-62320.68</v>
      </c>
      <c r="H90" s="380">
        <f>F90/E90</f>
        <v>0.2111306329113924</v>
      </c>
      <c r="I90" s="167">
        <f t="shared" si="45"/>
        <v>-62320.68</v>
      </c>
      <c r="J90" s="209">
        <f>F90/D90</f>
        <v>0.2111306329113924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4086.129999999999</v>
      </c>
      <c r="S90" s="209">
        <f t="shared" si="40"/>
        <v>1.3244714008126615</v>
      </c>
      <c r="T90" s="157">
        <f>E90-листопад!E90</f>
        <v>23700</v>
      </c>
      <c r="U90" s="160">
        <f>F90-листопад!F90</f>
        <v>972.7799999999988</v>
      </c>
      <c r="V90" s="167">
        <f t="shared" si="44"/>
        <v>-22727.22</v>
      </c>
      <c r="W90" s="209">
        <f>U90/T90</f>
        <v>0.04104556962025312</v>
      </c>
      <c r="X90" s="363">
        <f t="shared" si="20"/>
        <v>-4.948760401455072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19</v>
      </c>
      <c r="G91" s="162">
        <f t="shared" si="41"/>
        <v>7</v>
      </c>
      <c r="H91" s="380">
        <f>F91/E91</f>
        <v>1.5833333333333333</v>
      </c>
      <c r="I91" s="167">
        <f t="shared" si="45"/>
        <v>7</v>
      </c>
      <c r="J91" s="209">
        <f>F91/D91</f>
        <v>1.5833333333333333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6</v>
      </c>
      <c r="S91" s="209">
        <f t="shared" si="40"/>
        <v>1.4615384615384615</v>
      </c>
      <c r="T91" s="157">
        <f>E91-листопад!E91</f>
        <v>1</v>
      </c>
      <c r="U91" s="160">
        <f>F91-листопад!F91</f>
        <v>3</v>
      </c>
      <c r="V91" s="167">
        <f t="shared" si="44"/>
        <v>2</v>
      </c>
      <c r="W91" s="209">
        <f>U91/T91</f>
        <v>3</v>
      </c>
      <c r="X91" s="363">
        <f t="shared" si="20"/>
        <v>0.5384615384615383</v>
      </c>
    </row>
    <row r="92" spans="2:24" ht="33">
      <c r="B92" s="28" t="s">
        <v>51</v>
      </c>
      <c r="C92" s="65"/>
      <c r="D92" s="183">
        <f>D88+D89+D90+D91</f>
        <v>149048.45500000002</v>
      </c>
      <c r="E92" s="183">
        <f>E88+E89+E90+E91</f>
        <v>149048.45500000002</v>
      </c>
      <c r="F92" s="184">
        <f>F88+F89+F90+F91</f>
        <v>25617.25</v>
      </c>
      <c r="G92" s="185">
        <f t="shared" si="41"/>
        <v>-123431.20500000002</v>
      </c>
      <c r="H92" s="383">
        <f>F92/E92</f>
        <v>0.17187195935710972</v>
      </c>
      <c r="I92" s="187">
        <f t="shared" si="45"/>
        <v>-123431.20500000002</v>
      </c>
      <c r="J92" s="214">
        <f>F92/D92</f>
        <v>0.17187195935710972</v>
      </c>
      <c r="K92" s="187"/>
      <c r="L92" s="187"/>
      <c r="M92" s="187"/>
      <c r="N92" s="187">
        <v>27660.95</v>
      </c>
      <c r="O92" s="187">
        <f t="shared" si="42"/>
        <v>121387.50500000002</v>
      </c>
      <c r="P92" s="214">
        <f t="shared" si="43"/>
        <v>5.388406941916312</v>
      </c>
      <c r="Q92" s="187">
        <f t="shared" si="38"/>
        <v>27660.95</v>
      </c>
      <c r="R92" s="167">
        <f t="shared" si="39"/>
        <v>-2043.7000000000007</v>
      </c>
      <c r="S92" s="209">
        <f t="shared" si="40"/>
        <v>0.9261160589206082</v>
      </c>
      <c r="T92" s="185">
        <f>T88+T89+T90+T91</f>
        <v>4263.945</v>
      </c>
      <c r="U92" s="189">
        <f>U88+U89+U90+U91</f>
        <v>1101.6199999999992</v>
      </c>
      <c r="V92" s="187">
        <f t="shared" si="44"/>
        <v>-3162.3250000000007</v>
      </c>
      <c r="W92" s="214">
        <f>U92/T92</f>
        <v>0.2583569910024635</v>
      </c>
      <c r="X92" s="363">
        <f t="shared" si="20"/>
        <v>-4.4622908829957035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8033.93</v>
      </c>
      <c r="G95" s="162">
        <f t="shared" si="41"/>
        <v>-326.0699999999997</v>
      </c>
      <c r="H95" s="380">
        <f>F95/E95</f>
        <v>0.9609964114832537</v>
      </c>
      <c r="I95" s="167">
        <f t="shared" si="45"/>
        <v>-326.0699999999997</v>
      </c>
      <c r="J95" s="209">
        <f>F95/D95</f>
        <v>0.9609964114832537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-318.75</v>
      </c>
      <c r="S95" s="209">
        <f t="shared" si="40"/>
        <v>0.9618385955166485</v>
      </c>
      <c r="T95" s="157">
        <f>E95-листопад!E95</f>
        <v>0.5</v>
      </c>
      <c r="U95" s="160">
        <f>F95-листопад!F95</f>
        <v>0.9800000000004729</v>
      </c>
      <c r="V95" s="167">
        <f t="shared" si="44"/>
        <v>0.48000000000047294</v>
      </c>
      <c r="W95" s="209">
        <f>U95/T95</f>
        <v>1.9600000000009459</v>
      </c>
      <c r="X95" s="363">
        <f t="shared" si="20"/>
        <v>-0.03903776991336916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8083.200000000001</v>
      </c>
      <c r="G97" s="185">
        <f t="shared" si="41"/>
        <v>-316.7999999999993</v>
      </c>
      <c r="H97" s="383">
        <f>F97/E97</f>
        <v>0.9622857142857144</v>
      </c>
      <c r="I97" s="187">
        <f t="shared" si="45"/>
        <v>-316.7999999999993</v>
      </c>
      <c r="J97" s="214">
        <f>F97/D97</f>
        <v>0.9622857142857144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-340.9499999999989</v>
      </c>
      <c r="S97" s="209">
        <f t="shared" si="40"/>
        <v>0.9595270739481135</v>
      </c>
      <c r="T97" s="185">
        <f>T93+T96+T94+T95</f>
        <v>6.5</v>
      </c>
      <c r="U97" s="189">
        <f>U93+U96+U94+U95</f>
        <v>0.9800000000004729</v>
      </c>
      <c r="V97" s="187">
        <f t="shared" si="44"/>
        <v>-5.519999999999527</v>
      </c>
      <c r="W97" s="214">
        <f>U97/T97</f>
        <v>0.15076923076930354</v>
      </c>
      <c r="X97" s="363">
        <f t="shared" si="20"/>
        <v>-0.03760616798133931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36.91</v>
      </c>
      <c r="G98" s="162">
        <f t="shared" si="41"/>
        <v>-1.0900000000000034</v>
      </c>
      <c r="H98" s="380">
        <f>F98/E98</f>
        <v>0.9713157894736841</v>
      </c>
      <c r="I98" s="167">
        <f t="shared" si="45"/>
        <v>-1.0900000000000034</v>
      </c>
      <c r="J98" s="209">
        <f>F98/D98</f>
        <v>0.9713157894736841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1.5799999999999983</v>
      </c>
      <c r="S98" s="209">
        <f t="shared" si="40"/>
        <v>1.0447212001132182</v>
      </c>
      <c r="T98" s="157">
        <f>E98-листопад!E98</f>
        <v>0</v>
      </c>
      <c r="U98" s="160">
        <f>F98-листопад!F98</f>
        <v>7.8799999999999955</v>
      </c>
      <c r="V98" s="167">
        <f t="shared" si="44"/>
        <v>7.8799999999999955</v>
      </c>
      <c r="W98" s="209" t="e">
        <f>U98/T98</f>
        <v>#DIV/0!</v>
      </c>
      <c r="X98" s="363">
        <f t="shared" si="20"/>
        <v>-0.03085196716671379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157486.45500000002</v>
      </c>
      <c r="E100" s="308">
        <f>E86+E87+E92+E97+E98</f>
        <v>157486.45500000002</v>
      </c>
      <c r="F100" s="308">
        <f>F86+F87+F92+F97+F98</f>
        <v>33770.3</v>
      </c>
      <c r="G100" s="309">
        <f>F100-E100</f>
        <v>-123716.15500000001</v>
      </c>
      <c r="H100" s="384">
        <f>F100/E100</f>
        <v>0.214433044416423</v>
      </c>
      <c r="I100" s="301">
        <f>F100-D100</f>
        <v>-123716.15500000001</v>
      </c>
      <c r="J100" s="302">
        <f>F100/D100</f>
        <v>0.214433044416423</v>
      </c>
      <c r="K100" s="301"/>
      <c r="L100" s="301"/>
      <c r="M100" s="301"/>
      <c r="N100" s="301">
        <v>36110.25</v>
      </c>
      <c r="O100" s="301">
        <f>D100-N100</f>
        <v>121376.20500000002</v>
      </c>
      <c r="P100" s="302">
        <f>D100/N100</f>
        <v>4.361267368683407</v>
      </c>
      <c r="Q100" s="308">
        <f>N100</f>
        <v>36110.25</v>
      </c>
      <c r="R100" s="301">
        <f>F100-Q100</f>
        <v>-2339.949999999997</v>
      </c>
      <c r="S100" s="302">
        <f t="shared" si="40"/>
        <v>0.9351998393807853</v>
      </c>
      <c r="T100" s="308">
        <f>T86+T87+T92+T97+T98</f>
        <v>4270.445</v>
      </c>
      <c r="U100" s="308">
        <f>U86+U87+U92+U97+U98</f>
        <v>1110.4799999999996</v>
      </c>
      <c r="V100" s="301">
        <f>U100-T100</f>
        <v>-3159.965</v>
      </c>
      <c r="W100" s="302">
        <f>U100/T100</f>
        <v>0.26003847374219774</v>
      </c>
      <c r="X100" s="363">
        <f>S100-P100</f>
        <v>-3.426067529302622</v>
      </c>
    </row>
    <row r="101" spans="2:24" ht="17.25">
      <c r="B101" s="311" t="s">
        <v>182</v>
      </c>
      <c r="C101" s="307"/>
      <c r="D101" s="308">
        <f>D79+D100</f>
        <v>1556377.5550000002</v>
      </c>
      <c r="E101" s="308">
        <f>E79+E100</f>
        <v>1556377.5550000002</v>
      </c>
      <c r="F101" s="308">
        <f>F79+F100</f>
        <v>1399388.4300000002</v>
      </c>
      <c r="G101" s="309">
        <f>F101-E101</f>
        <v>-156989.125</v>
      </c>
      <c r="H101" s="384">
        <f>F101/E101</f>
        <v>0.8991317212872554</v>
      </c>
      <c r="I101" s="301">
        <f>F101-D101</f>
        <v>-156989.125</v>
      </c>
      <c r="J101" s="302">
        <f>F101/D101</f>
        <v>0.8991317212872554</v>
      </c>
      <c r="K101" s="301"/>
      <c r="L101" s="301"/>
      <c r="M101" s="301"/>
      <c r="N101" s="301">
        <v>1089679.76</v>
      </c>
      <c r="O101" s="301">
        <f>D101-N101</f>
        <v>466697.79500000016</v>
      </c>
      <c r="P101" s="302">
        <f>D101/N101</f>
        <v>1.4282889451851433</v>
      </c>
      <c r="Q101" s="301">
        <f>Q79+Q100</f>
        <v>1089679.76</v>
      </c>
      <c r="R101" s="301">
        <f>R79+R100</f>
        <v>309708.6700000001</v>
      </c>
      <c r="S101" s="302">
        <f t="shared" si="40"/>
        <v>1.2842198977798762</v>
      </c>
      <c r="T101" s="309">
        <f>T79+T100</f>
        <v>158404.24500000002</v>
      </c>
      <c r="U101" s="309">
        <f>U79+U100</f>
        <v>97816.97000000003</v>
      </c>
      <c r="V101" s="301">
        <f>U101-T101</f>
        <v>-60587.274999999994</v>
      </c>
      <c r="W101" s="302">
        <f>U101/T101</f>
        <v>0.6175148273330681</v>
      </c>
      <c r="X101" s="363">
        <f>S101-P101</f>
        <v>-0.14406904740526705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3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19142.43666666666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43095</v>
      </c>
      <c r="D105" s="29">
        <v>10758.5</v>
      </c>
      <c r="G105" s="4" t="s">
        <v>58</v>
      </c>
      <c r="U105" s="443"/>
      <c r="V105" s="443"/>
      <c r="X105" s="363"/>
    </row>
    <row r="106" spans="3:24" ht="15">
      <c r="C106" s="81">
        <v>43091</v>
      </c>
      <c r="D106" s="29">
        <v>13007.3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43090</v>
      </c>
      <c r="D107" s="29">
        <v>4461.76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1560.14012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1887</v>
      </c>
      <c r="E112" s="68">
        <f>E60+E63+E64</f>
        <v>1887</v>
      </c>
      <c r="F112" s="203">
        <f>F60+F63+F64</f>
        <v>1926.33</v>
      </c>
      <c r="G112" s="68">
        <f>G60+G63+G64</f>
        <v>39.33000000000008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1333609.6</v>
      </c>
      <c r="E114" s="29">
        <f>E9+E15+E18+E19+E23+E54+E57+E77+E71</f>
        <v>1333609.6</v>
      </c>
      <c r="F114" s="229">
        <f>F9+F15+F18+F19+F23+F54+F57+F77+F71</f>
        <v>1299341.17</v>
      </c>
      <c r="G114" s="29">
        <f>F114-E114</f>
        <v>-34268.43000000017</v>
      </c>
      <c r="H114" s="230">
        <f>F114/E114</f>
        <v>0.9743040017108454</v>
      </c>
      <c r="I114" s="29">
        <f>F114-D114</f>
        <v>-34268.43000000017</v>
      </c>
      <c r="J114" s="230">
        <f>F114/D114</f>
        <v>0.9743040017108454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65258.5</v>
      </c>
      <c r="E115" s="29">
        <f>E55+E56+E58+E60+E62+E63+E64+E65+E66+E72+E76+E59+E78</f>
        <v>65258.5</v>
      </c>
      <c r="F115" s="229">
        <f>F55+F56+F58+F60+F62+F63+F64+F65+F66+F72+F76+F59+F78</f>
        <v>66253.09</v>
      </c>
      <c r="G115" s="29">
        <f>G55+G56+G58+G60+G62+G63+G64+G65+G66+G72+G76+G59</f>
        <v>999.4699999999993</v>
      </c>
      <c r="H115" s="230">
        <f>F115/E115</f>
        <v>1.0152407732326056</v>
      </c>
      <c r="I115" s="29">
        <f>I55+I56+I58+I60+I62+I63+I64+I65+I66+I72+I76+I59</f>
        <v>999.4699999999993</v>
      </c>
      <c r="J115" s="230">
        <f>F115/D115</f>
        <v>1.0152407732326056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1398868.1</v>
      </c>
      <c r="E116" s="29">
        <f>SUM(E114:E115)</f>
        <v>1398868.1</v>
      </c>
      <c r="F116" s="29">
        <f>SUM(F114:F115)</f>
        <v>1365594.26</v>
      </c>
      <c r="G116" s="29">
        <f>SUM(G114:G115)</f>
        <v>-33268.96000000017</v>
      </c>
      <c r="H116" s="230">
        <f>F116/E116</f>
        <v>0.9762137402375535</v>
      </c>
      <c r="I116" s="29">
        <f>SUM(I114:I115)</f>
        <v>-33268.96000000017</v>
      </c>
      <c r="J116" s="230">
        <f>F116/D116</f>
        <v>0.9762137402375535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157106.5000000001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229894.67500000002</v>
      </c>
      <c r="E123" s="191">
        <f>E100+E122</f>
        <v>175588.515</v>
      </c>
      <c r="F123" s="191">
        <f>F100+F122</f>
        <v>54024.62</v>
      </c>
      <c r="G123" s="192">
        <f>F123-E123</f>
        <v>-121563.89500000002</v>
      </c>
      <c r="H123" s="193">
        <f>F123/E123*100</f>
        <v>30.767741272827553</v>
      </c>
      <c r="I123" s="194">
        <f>F123-D123</f>
        <v>-175870.05500000002</v>
      </c>
      <c r="J123" s="194">
        <f>F123/D123*100</f>
        <v>23.49972655956472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50984.75</v>
      </c>
      <c r="S123" s="269">
        <f>F123/Q123</f>
        <v>17.77201656649791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1628785.7750000001</v>
      </c>
      <c r="E124" s="191">
        <f>E123+E79</f>
        <v>1574479.6150000002</v>
      </c>
      <c r="F124" s="191">
        <f>F123+F79</f>
        <v>1419642.7500000002</v>
      </c>
      <c r="G124" s="192">
        <f>F124-E124</f>
        <v>-154836.865</v>
      </c>
      <c r="H124" s="193">
        <f>F124/E124*100</f>
        <v>90.16583869839432</v>
      </c>
      <c r="I124" s="194">
        <f>F124-D124</f>
        <v>-209143.0249999999</v>
      </c>
      <c r="J124" s="194">
        <f>F124/D124*100</f>
        <v>87.15957443820382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326923.1200000001</v>
      </c>
      <c r="S124" s="269">
        <f>F124/Q124</f>
        <v>1.2991829843854823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220</v>
      </c>
      <c r="E137" s="412">
        <f t="shared" si="48"/>
        <v>220</v>
      </c>
      <c r="F137" s="414">
        <f t="shared" si="48"/>
        <v>220.59</v>
      </c>
      <c r="G137" s="412">
        <f t="shared" si="48"/>
        <v>0.5900000000000034</v>
      </c>
      <c r="H137" s="423">
        <f t="shared" si="48"/>
        <v>1.0026818181818182</v>
      </c>
      <c r="I137" s="412">
        <f t="shared" si="48"/>
        <v>0.5900000000000034</v>
      </c>
      <c r="J137" s="423">
        <f t="shared" si="48"/>
        <v>100.26818181818183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95.3</v>
      </c>
      <c r="P137" s="423">
        <f t="shared" si="48"/>
        <v>1.764234161988773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0.004731355252606484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697.81</v>
      </c>
      <c r="G140" s="412">
        <f t="shared" si="52"/>
        <v>37.809999999999945</v>
      </c>
      <c r="H140" s="423">
        <f t="shared" si="52"/>
        <v>1.0572878787878788</v>
      </c>
      <c r="I140" s="412">
        <f t="shared" si="52"/>
        <v>37.809999999999945</v>
      </c>
      <c r="J140" s="423">
        <f t="shared" si="52"/>
        <v>1.0572878787878788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456.73999999999995</v>
      </c>
      <c r="S140" s="423">
        <f t="shared" si="52"/>
        <v>2.894636412660223</v>
      </c>
      <c r="T140" s="400"/>
      <c r="U140" s="400"/>
      <c r="V140" s="400"/>
      <c r="W140" s="400"/>
      <c r="X140" s="363">
        <f t="shared" si="47"/>
        <v>0.15684241091799045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122.25</v>
      </c>
      <c r="G141" s="412">
        <f t="shared" si="53"/>
        <v>24.75</v>
      </c>
      <c r="H141" s="423">
        <f t="shared" si="53"/>
        <v>1.2538461538461538</v>
      </c>
      <c r="I141" s="412">
        <f t="shared" si="53"/>
        <v>24.75</v>
      </c>
      <c r="J141" s="423">
        <f t="shared" si="53"/>
        <v>1.2538461538461538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35.879999999999995</v>
      </c>
      <c r="S141" s="423">
        <f t="shared" si="53"/>
        <v>1.4154220215352553</v>
      </c>
      <c r="T141" s="400"/>
      <c r="U141" s="400"/>
      <c r="V141" s="400"/>
      <c r="W141" s="400"/>
      <c r="X141" s="363">
        <f t="shared" si="47"/>
        <v>0.2865578325807572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-4.88</v>
      </c>
      <c r="G144" s="419">
        <f t="shared" si="56"/>
        <v>-4.88</v>
      </c>
      <c r="H144" s="409" t="e">
        <f t="shared" si="56"/>
        <v>#DIV/0!</v>
      </c>
      <c r="I144" s="419">
        <f t="shared" si="56"/>
        <v>-4.88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-12.25</v>
      </c>
      <c r="S144" s="409">
        <f t="shared" si="56"/>
        <v>-0.6621438263229308</v>
      </c>
      <c r="T144" s="402"/>
      <c r="U144" s="402"/>
      <c r="V144" s="402"/>
      <c r="W144" s="402"/>
      <c r="X144" s="363">
        <f t="shared" si="47"/>
        <v>-0.6621438263229308</v>
      </c>
    </row>
    <row r="145" spans="4:24" ht="15" hidden="1">
      <c r="D145" s="406">
        <f>D136+D137+D138+D139+D140+D141+D142+D143+D144</f>
        <v>1048</v>
      </c>
      <c r="E145" s="406">
        <f>E136+E137+E138+E139+E140+E141+E142+E143+E144</f>
        <v>1048</v>
      </c>
      <c r="F145" s="407">
        <f>F136+F137+F138+F139+F140+F141+F142+F143+F144</f>
        <v>1238.7699999999998</v>
      </c>
      <c r="G145" s="406">
        <f>F145-E145</f>
        <v>190.76999999999975</v>
      </c>
      <c r="H145" s="339">
        <f>F145/E145</f>
        <v>1.1820324427480913</v>
      </c>
      <c r="I145" s="406">
        <f>F145-D145</f>
        <v>190.76999999999975</v>
      </c>
      <c r="J145" s="339">
        <f>F145/D145</f>
        <v>1.1820324427480913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540.26</v>
      </c>
      <c r="P145" s="339">
        <f>D145/N145</f>
        <v>2.06404852877457</v>
      </c>
      <c r="Q145" s="406">
        <f>Q136+Q137+Q138+Q139+Q140+Q141+Q142+Q143+Q144</f>
        <v>507.73999999999995</v>
      </c>
      <c r="R145" s="406">
        <f>F145-Q145</f>
        <v>731.0299999999997</v>
      </c>
      <c r="S145" s="429">
        <f>F145/Q145</f>
        <v>2.439772324418009</v>
      </c>
      <c r="T145" s="403"/>
      <c r="U145" s="403"/>
      <c r="V145" s="403"/>
      <c r="W145" s="403"/>
      <c r="X145" s="366">
        <f t="shared" si="47"/>
        <v>0.37572379564343894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1173</v>
      </c>
      <c r="E148" s="412">
        <f t="shared" si="58"/>
        <v>1173</v>
      </c>
      <c r="F148" s="414">
        <f t="shared" si="58"/>
        <v>1184.13</v>
      </c>
      <c r="G148" s="412">
        <f t="shared" si="58"/>
        <v>11.13000000000011</v>
      </c>
      <c r="H148" s="410">
        <f t="shared" si="58"/>
        <v>1.0094884910485935</v>
      </c>
      <c r="I148" s="412">
        <f t="shared" si="58"/>
        <v>11.13000000000011</v>
      </c>
      <c r="J148" s="410">
        <f t="shared" si="58"/>
        <v>1.0094884910485935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381.66999999999996</v>
      </c>
      <c r="P148" s="410">
        <f t="shared" si="58"/>
        <v>1.4823145843074317</v>
      </c>
      <c r="Q148" s="412">
        <f t="shared" si="58"/>
        <v>791.33</v>
      </c>
      <c r="R148" s="415">
        <f t="shared" si="58"/>
        <v>392.80000000000007</v>
      </c>
      <c r="S148" s="410">
        <f t="shared" si="58"/>
        <v>1.4963795129718322</v>
      </c>
      <c r="T148" s="400"/>
      <c r="U148" s="400"/>
      <c r="V148" s="400"/>
      <c r="W148" s="400"/>
      <c r="X148" s="363">
        <f aca="true" t="shared" si="59" ref="X148:X153">S148-P148</f>
        <v>0.014064928664400567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19700</v>
      </c>
      <c r="E150" s="413">
        <f t="shared" si="61"/>
        <v>19700</v>
      </c>
      <c r="F150" s="431">
        <f t="shared" si="61"/>
        <v>19876.52</v>
      </c>
      <c r="G150" s="413">
        <f t="shared" si="61"/>
        <v>176.52000000000044</v>
      </c>
      <c r="H150" s="411">
        <f t="shared" si="61"/>
        <v>1.0089604060913706</v>
      </c>
      <c r="I150" s="413">
        <f t="shared" si="61"/>
        <v>176.52000000000044</v>
      </c>
      <c r="J150" s="411">
        <f t="shared" si="61"/>
        <v>1.0089604060913706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8277.5</v>
      </c>
      <c r="P150" s="411">
        <f t="shared" si="61"/>
        <v>1.7246662289341212</v>
      </c>
      <c r="Q150" s="413">
        <f t="shared" si="61"/>
        <v>11422.5</v>
      </c>
      <c r="R150" s="432">
        <f t="shared" si="61"/>
        <v>8454.02</v>
      </c>
      <c r="S150" s="411">
        <f t="shared" si="61"/>
        <v>1.7401199387174437</v>
      </c>
      <c r="T150" s="404"/>
      <c r="U150" s="404"/>
      <c r="V150" s="404"/>
      <c r="W150" s="404"/>
      <c r="X150" s="363">
        <f t="shared" si="59"/>
        <v>0.0154537097833225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694</v>
      </c>
      <c r="E151" s="413">
        <f t="shared" si="62"/>
        <v>694</v>
      </c>
      <c r="F151" s="431">
        <f t="shared" si="62"/>
        <v>703.16</v>
      </c>
      <c r="G151" s="413">
        <f t="shared" si="62"/>
        <v>9.159999999999968</v>
      </c>
      <c r="H151" s="411">
        <f t="shared" si="62"/>
        <v>1.0131988472622477</v>
      </c>
      <c r="I151" s="413">
        <f t="shared" si="62"/>
        <v>9.159999999999968</v>
      </c>
      <c r="J151" s="411">
        <f t="shared" si="62"/>
        <v>1.0131988472622477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370.75</v>
      </c>
      <c r="P151" s="411">
        <f t="shared" si="62"/>
        <v>2.1469450889404484</v>
      </c>
      <c r="Q151" s="413">
        <f t="shared" si="62"/>
        <v>323.25</v>
      </c>
      <c r="R151" s="432">
        <f t="shared" si="62"/>
        <v>379.90999999999997</v>
      </c>
      <c r="S151" s="411">
        <f t="shared" si="62"/>
        <v>2.1752822892498065</v>
      </c>
      <c r="T151" s="404"/>
      <c r="U151" s="404"/>
      <c r="V151" s="404"/>
      <c r="W151" s="404"/>
      <c r="X151" s="363">
        <f t="shared" si="59"/>
        <v>0.028337200309358046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39.04</v>
      </c>
      <c r="G152" s="413">
        <f t="shared" si="63"/>
        <v>19.04</v>
      </c>
      <c r="H152" s="411">
        <f t="shared" si="63"/>
        <v>1.952</v>
      </c>
      <c r="I152" s="413">
        <f t="shared" si="63"/>
        <v>19.04</v>
      </c>
      <c r="J152" s="411">
        <f t="shared" si="63"/>
        <v>1.952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16.68</v>
      </c>
      <c r="S152" s="411">
        <f t="shared" si="63"/>
        <v>1.745974955277281</v>
      </c>
      <c r="T152" s="404"/>
      <c r="U152" s="404"/>
      <c r="V152" s="404"/>
      <c r="W152" s="404"/>
      <c r="X152" s="363">
        <f t="shared" si="59"/>
        <v>0.8515205724508051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21610</v>
      </c>
      <c r="E153" s="406">
        <f>E148+E149+E150+E151+E152</f>
        <v>21610</v>
      </c>
      <c r="F153" s="407">
        <f>F148+F149+F150+F151+F152</f>
        <v>21826.23</v>
      </c>
      <c r="G153" s="406">
        <f>F153-E153</f>
        <v>216.22999999999956</v>
      </c>
      <c r="H153" s="339">
        <f>F153/E153</f>
        <v>1.0100060157334567</v>
      </c>
      <c r="I153" s="406">
        <f>F153-D153</f>
        <v>216.22999999999956</v>
      </c>
      <c r="J153" s="339">
        <f>F153/D153</f>
        <v>1.0100060157334567</v>
      </c>
      <c r="K153" s="90"/>
      <c r="L153" s="90"/>
      <c r="M153" s="90"/>
      <c r="N153" s="406">
        <f>N148+N149+N150+N151+N152</f>
        <v>12559.44</v>
      </c>
      <c r="O153" s="406">
        <f>D153-N153</f>
        <v>9050.56</v>
      </c>
      <c r="P153" s="339">
        <f>D153/N153</f>
        <v>1.7206181167313193</v>
      </c>
      <c r="Q153" s="406">
        <f>Q148+Q149+Q150+Q151+Q152</f>
        <v>12559.44</v>
      </c>
      <c r="R153" s="406">
        <f>F153-Q153</f>
        <v>9266.789999999999</v>
      </c>
      <c r="S153" s="339">
        <f>F153/Q153</f>
        <v>1.7378346486786034</v>
      </c>
      <c r="T153" s="403"/>
      <c r="U153" s="403"/>
      <c r="V153" s="403"/>
      <c r="W153" s="403"/>
      <c r="X153" s="366">
        <f t="shared" si="59"/>
        <v>0.01721653194728412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7875</v>
      </c>
      <c r="E157" s="427">
        <f t="shared" si="64"/>
        <v>7875</v>
      </c>
      <c r="F157" s="433">
        <f t="shared" si="64"/>
        <v>7944.97</v>
      </c>
      <c r="G157" s="427">
        <f t="shared" si="64"/>
        <v>69.97000000000025</v>
      </c>
      <c r="H157" s="409">
        <f t="shared" si="64"/>
        <v>1.0088850793650794</v>
      </c>
      <c r="I157" s="427">
        <f t="shared" si="64"/>
        <v>69.97000000000025</v>
      </c>
      <c r="J157" s="409">
        <f t="shared" si="64"/>
        <v>1.0088850793650794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1349.8400000000001</v>
      </c>
      <c r="P157" s="409">
        <f t="shared" si="64"/>
        <v>1.2068669580516034</v>
      </c>
      <c r="Q157" s="427">
        <f t="shared" si="64"/>
        <v>6525.16</v>
      </c>
      <c r="R157" s="427">
        <f t="shared" si="64"/>
        <v>1419.8100000000004</v>
      </c>
      <c r="S157" s="409">
        <f t="shared" si="64"/>
        <v>1.217590066756984</v>
      </c>
      <c r="T157" s="405"/>
      <c r="U157" s="405"/>
      <c r="V157" s="405"/>
      <c r="W157" s="405"/>
      <c r="X157" s="363">
        <f>S157-P157</f>
        <v>0.010723108705380513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8035</v>
      </c>
      <c r="E159" s="406">
        <f>E157+E158</f>
        <v>8035</v>
      </c>
      <c r="F159" s="407">
        <f>F157+F158</f>
        <v>8087.150000000001</v>
      </c>
      <c r="G159" s="408">
        <f>F159-E159</f>
        <v>52.150000000000546</v>
      </c>
      <c r="H159" s="339">
        <f>F159/E159</f>
        <v>1.0064903546981954</v>
      </c>
      <c r="I159" s="406">
        <f>F159-D159</f>
        <v>52.150000000000546</v>
      </c>
      <c r="J159" s="339">
        <f>F159/D159</f>
        <v>1.0064903546981954</v>
      </c>
      <c r="K159" s="90"/>
      <c r="L159" s="90"/>
      <c r="M159" s="90"/>
      <c r="N159" s="406">
        <f>N157+N158</f>
        <v>6751.88</v>
      </c>
      <c r="O159" s="406">
        <f>D159-N159</f>
        <v>1283.12</v>
      </c>
      <c r="P159" s="339">
        <f>D159/N159</f>
        <v>1.1900389224926984</v>
      </c>
      <c r="Q159" s="406">
        <f>Q157+Q158</f>
        <v>6751.88</v>
      </c>
      <c r="R159" s="406">
        <f>F159-Q159</f>
        <v>1335.2700000000004</v>
      </c>
      <c r="S159" s="339">
        <f>F159/Q159</f>
        <v>1.1977626972043343</v>
      </c>
      <c r="T159" s="403"/>
      <c r="U159" s="403"/>
      <c r="V159" s="403"/>
      <c r="W159" s="403"/>
      <c r="X159" s="366">
        <f>S159-P159</f>
        <v>0.007723774711635878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14" sqref="Y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2017-12-27T09:54:03Z</cp:lastPrinted>
  <dcterms:created xsi:type="dcterms:W3CDTF">2003-07-28T11:27:56Z</dcterms:created>
  <dcterms:modified xsi:type="dcterms:W3CDTF">2017-12-27T10:52:28Z</dcterms:modified>
  <cp:category/>
  <cp:version/>
  <cp:contentType/>
  <cp:contentStatus/>
</cp:coreProperties>
</file>